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625"/>
  <workbookPr/>
  <bookViews>
    <workbookView xWindow="0" yWindow="0" windowWidth="28740" windowHeight="17355" activeTab="4"/>
  </bookViews>
  <sheets>
    <sheet name="Výsledovka" sheetId="11" r:id="rId1"/>
    <sheet name="Zakázky" sheetId="1" r:id="rId2"/>
    <sheet name="Dlouhodobé kontrakty" sheetId="4" r:id="rId3"/>
    <sheet name="Režijní náklady" sheetId="9" r:id="rId4"/>
    <sheet name="List1" sheetId="12" r:id="rId5"/>
  </sheets>
  <definedNames>
    <definedName name="_xlnm._FilterDatabase" localSheetId="1" hidden="1">'Zakázky'!$A$5:$K$74</definedName>
  </definedNames>
  <calcPr calcId="171027"/>
  <extLst/>
</workbook>
</file>

<file path=xl/sharedStrings.xml><?xml version="1.0" encoding="utf-8"?>
<sst xmlns="http://schemas.openxmlformats.org/spreadsheetml/2006/main" count="370" uniqueCount="164">
  <si>
    <t>Opportunity Owner</t>
  </si>
  <si>
    <t>Account Name</t>
  </si>
  <si>
    <t>Opportunity Name</t>
  </si>
  <si>
    <t>Close Date</t>
  </si>
  <si>
    <t>Stage</t>
  </si>
  <si>
    <t>Probability (%)</t>
  </si>
  <si>
    <t>OSB</t>
  </si>
  <si>
    <t>ELI (Extreme Light Infrastructure)</t>
  </si>
  <si>
    <t>SIEM</t>
  </si>
  <si>
    <t>OSB X8</t>
  </si>
  <si>
    <t>H4K</t>
  </si>
  <si>
    <t>HP4000v7</t>
  </si>
  <si>
    <t>SBC</t>
  </si>
  <si>
    <t>Voice network modernization</t>
  </si>
  <si>
    <t>VPFM - HP 4000</t>
  </si>
  <si>
    <t>IP Network Modernization</t>
  </si>
  <si>
    <t>Pavel Kučera</t>
  </si>
  <si>
    <t>Miroslav Janča</t>
  </si>
  <si>
    <t>AGroup a.s.</t>
  </si>
  <si>
    <t>Sos spol. s r. o.</t>
  </si>
  <si>
    <t>VIT, s.r.o.</t>
  </si>
  <si>
    <t>SpchSR</t>
  </si>
  <si>
    <t>MFCR</t>
  </si>
  <si>
    <t>GSSTV s.r.o.</t>
  </si>
  <si>
    <t>VB a.s.</t>
  </si>
  <si>
    <t>Povce, a.s.</t>
  </si>
  <si>
    <t>Vostav</t>
  </si>
  <si>
    <t>INSK. s r.o.</t>
  </si>
  <si>
    <t>Slopouni</t>
  </si>
  <si>
    <t>STR a.s.</t>
  </si>
  <si>
    <t>AtSoSe, s.r.o.</t>
  </si>
  <si>
    <t>Ummuse</t>
  </si>
  <si>
    <t>VIEOINT a.s.</t>
  </si>
  <si>
    <t>Finaravě</t>
  </si>
  <si>
    <t>ŠKTO a.s.</t>
  </si>
  <si>
    <t>Agcp</t>
  </si>
  <si>
    <t>Upgrade 6x HiPath 4000 + VOIP trunking</t>
  </si>
  <si>
    <t xml:space="preserve"> HiPath 4000</t>
  </si>
  <si>
    <t>Q2</t>
  </si>
  <si>
    <t>Q1</t>
  </si>
  <si>
    <t>Q3</t>
  </si>
  <si>
    <t>Q4</t>
  </si>
  <si>
    <t>Vsene</t>
  </si>
  <si>
    <t>TMEON</t>
  </si>
  <si>
    <t>MSVS</t>
  </si>
  <si>
    <t>Sins</t>
  </si>
  <si>
    <t>OSV</t>
  </si>
  <si>
    <t>Security</t>
  </si>
  <si>
    <t>Delivery and Support</t>
  </si>
  <si>
    <t>SASB</t>
  </si>
  <si>
    <t>VD</t>
  </si>
  <si>
    <t>Indirect</t>
  </si>
  <si>
    <t>Delivery and support</t>
  </si>
  <si>
    <t>IPDA</t>
  </si>
  <si>
    <t>konverze HP</t>
  </si>
  <si>
    <t>Upgrade V6</t>
  </si>
  <si>
    <t>Magdra</t>
  </si>
  <si>
    <t>VdrtzB a.s.</t>
  </si>
  <si>
    <t>SviNefrtz, A.S.</t>
  </si>
  <si>
    <t>Parhkrial s.r.o.</t>
  </si>
  <si>
    <t>Svihgchgcm, A.S.</t>
  </si>
  <si>
    <t>ČSPrvvČe, a.s.</t>
  </si>
  <si>
    <t>GSfdfdV s.r.o.</t>
  </si>
  <si>
    <t>ENERG</t>
  </si>
  <si>
    <t>Alzutre</t>
  </si>
  <si>
    <t>ALESE</t>
  </si>
  <si>
    <t>Ndddem, A.S.</t>
  </si>
  <si>
    <t>mitrerslk</t>
  </si>
  <si>
    <t>fitre</t>
  </si>
  <si>
    <t>htskjbsx</t>
  </si>
  <si>
    <t>gwdgwq</t>
  </si>
  <si>
    <t>Paľo Novak</t>
  </si>
  <si>
    <t>Vlasta Bartoš</t>
  </si>
  <si>
    <t>Josef Horák</t>
  </si>
  <si>
    <t>Josef Orban</t>
  </si>
  <si>
    <t>Tomáš Gerhát</t>
  </si>
  <si>
    <t>jjjkkk</t>
  </si>
  <si>
    <t>ddduu</t>
  </si>
  <si>
    <t>trewq</t>
  </si>
  <si>
    <t>qwerty</t>
  </si>
  <si>
    <t>Revenue
(in CZK)</t>
  </si>
  <si>
    <t>Sales Margin (%)</t>
  </si>
  <si>
    <t>OSVV 7</t>
  </si>
  <si>
    <t>Upgrade 4K</t>
  </si>
  <si>
    <t>OS Bus</t>
  </si>
  <si>
    <t>Swi</t>
  </si>
  <si>
    <t>HP30x</t>
  </si>
  <si>
    <t>IZS NIS</t>
  </si>
  <si>
    <t xml:space="preserve"> RAM HP 32GB</t>
  </si>
  <si>
    <t>Upgrade</t>
  </si>
  <si>
    <t>1: Obchodní příležitost</t>
  </si>
  <si>
    <t>2: Nabídka u zákazníka</t>
  </si>
  <si>
    <t>3: Vážně vyjednáváme</t>
  </si>
  <si>
    <t>4: Před podpisem</t>
  </si>
  <si>
    <t>nn</t>
  </si>
  <si>
    <t>odhad</t>
  </si>
  <si>
    <t>Marže</t>
  </si>
  <si>
    <t>Nové zakázky (New Orders)</t>
  </si>
  <si>
    <t>Dlouhodobé kontrakty - running</t>
  </si>
  <si>
    <t>Počet pracovníků</t>
  </si>
  <si>
    <t>Školení</t>
  </si>
  <si>
    <t>Cestovné</t>
  </si>
  <si>
    <r>
      <t>Marketing</t>
    </r>
    <r>
      <rPr>
        <sz val="10"/>
        <rFont val="Arial"/>
        <family val="2"/>
      </rPr>
      <t xml:space="preserve"> </t>
    </r>
  </si>
  <si>
    <t>Nájemné</t>
  </si>
  <si>
    <t>Poradenství</t>
  </si>
  <si>
    <t>IT</t>
  </si>
  <si>
    <r>
      <t>Odpisy</t>
    </r>
    <r>
      <rPr>
        <sz val="10"/>
        <rFont val="Arial"/>
        <family val="2"/>
      </rPr>
      <t xml:space="preserve"> </t>
    </r>
  </si>
  <si>
    <t>ostatní zakázky</t>
  </si>
  <si>
    <t>S spol. s r. o.</t>
  </si>
  <si>
    <t>alo a.s.</t>
  </si>
  <si>
    <t>skutečnost viz. tabulka CashFlow</t>
  </si>
  <si>
    <t>Dlouhodobé kontrakty</t>
  </si>
  <si>
    <t>odměny vypláceny čtvrtletně, společně s výplatou za první měsíc následujícího čtvrtletí</t>
  </si>
  <si>
    <t>Telefon &amp; Data</t>
  </si>
  <si>
    <t>2 % z ročního obratu</t>
  </si>
  <si>
    <t>lineárně</t>
  </si>
  <si>
    <t>placeno měsíčně</t>
  </si>
  <si>
    <t>roční nájemné je 3,0 mil</t>
  </si>
  <si>
    <t>právní poradenství měsíšně 50.000 Kč</t>
  </si>
  <si>
    <t>měsíčně 200.000 Kč</t>
  </si>
  <si>
    <t>odepisujeme lineárně po dobu 4 let</t>
  </si>
  <si>
    <t>Sales Margin</t>
  </si>
  <si>
    <t xml:space="preserve">  Školení</t>
  </si>
  <si>
    <t xml:space="preserve">  Cestovné</t>
  </si>
  <si>
    <t xml:space="preserve">  Tel &amp; Data</t>
  </si>
  <si>
    <t xml:space="preserve">  Marketing</t>
  </si>
  <si>
    <t xml:space="preserve">  Nájemné</t>
  </si>
  <si>
    <t xml:space="preserve">  Poradenství</t>
  </si>
  <si>
    <t xml:space="preserve">  IT</t>
  </si>
  <si>
    <t xml:space="preserve">  Odpisy</t>
  </si>
  <si>
    <t>Hospodářský výsledek</t>
  </si>
  <si>
    <t>Měsíční fakturace</t>
  </si>
  <si>
    <t xml:space="preserve">  Mzdy &amp; Odvody</t>
  </si>
  <si>
    <t>průměrný počet pracovníků v roce 2016 byl 200</t>
  </si>
  <si>
    <t>skutečnost v roce 2016 byla 3,0 mil Kč, lineární čerpání v průběhu roku</t>
  </si>
  <si>
    <t>pro rok 2017 plánujeme navýšení o 20%</t>
  </si>
  <si>
    <t>1% z celkových mzdových nákladů</t>
  </si>
  <si>
    <t>rozdělení po kvartálech: Q1 = 10%, Q2 = 30%, Q3 = 10%, Q4 = 50%</t>
  </si>
  <si>
    <t>daňový&amp;účetní audit 1x ročně 0,2 mil, faktura červen</t>
  </si>
  <si>
    <t>plánovaná roční hodnota odpisů majetku evidovaného k 31.12.2016 je 1,2 mil</t>
  </si>
  <si>
    <t>Režijní náklady</t>
  </si>
  <si>
    <t>v %</t>
  </si>
  <si>
    <t xml:space="preserve">  Nové zakázky</t>
  </si>
  <si>
    <t>Výnosy</t>
  </si>
  <si>
    <t xml:space="preserve">  Dlouhodobé kontrakty (running)</t>
  </si>
  <si>
    <t xml:space="preserve">  Dlouhodobé kontrakty (nové)</t>
  </si>
  <si>
    <t>Mzdy &amp; Odvody</t>
  </si>
  <si>
    <t>Režijní náklady 2017</t>
  </si>
  <si>
    <t>v roce 2017 plánujeme nové investice ve výši 0,5 mil (0,2 mil k 1.4.; 0,2 mil k 1.7. a 0,1 mil k 1.10.)</t>
  </si>
  <si>
    <t>Dlouhodobé kontrakty - nové</t>
  </si>
  <si>
    <t>Zákazník</t>
  </si>
  <si>
    <t>Začátek</t>
  </si>
  <si>
    <t>kontraktu</t>
  </si>
  <si>
    <t>Konec</t>
  </si>
  <si>
    <t>p.a.</t>
  </si>
  <si>
    <t>Číslo</t>
  </si>
  <si>
    <t>Celkem</t>
  </si>
  <si>
    <t>Hodnoty v Kč</t>
  </si>
  <si>
    <t>Případová studie</t>
  </si>
  <si>
    <t>Výsledovka</t>
  </si>
  <si>
    <t>Roční hodnoty v Kč</t>
  </si>
  <si>
    <t>od 1.4.2017 plánujeme nabrat 10 nových pracovníků (prům. FIX  za kvartal 40.000 Kč, roční VAR 60.000 Kč)</t>
  </si>
  <si>
    <t>paušál 1.000 Kč/pracovník/kvartál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</si>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</sst>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_ ;\-0\ "/>
    <numFmt numFmtId="165" formatCode="#,##0_ ;\-#,##0\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/>
    <xf numFmtId="0" fontId="18" fillId="0" borderId="0" xfId="0" applyFont="1"/>
    <xf numFmtId="0" fontId="20" fillId="0" borderId="0" xfId="0" applyNumberFormat="1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horizontal="right" wrapText="1"/>
    </xf>
    <xf numFmtId="9" fontId="18" fillId="0" borderId="10" xfId="61" applyFont="1" applyFill="1" applyBorder="1" applyAlignment="1">
      <alignment horizontal="right" wrapText="1"/>
    </xf>
    <xf numFmtId="14" fontId="18" fillId="0" borderId="10" xfId="0" applyNumberFormat="1" applyFont="1" applyBorder="1" applyAlignment="1">
      <alignment horizontal="right" wrapText="1"/>
    </xf>
    <xf numFmtId="49" fontId="18" fillId="0" borderId="11" xfId="0" applyNumberFormat="1" applyFont="1" applyBorder="1" applyAlignment="1">
      <alignment wrapText="1"/>
    </xf>
    <xf numFmtId="9" fontId="18" fillId="0" borderId="12" xfId="61" applyFont="1" applyBorder="1" applyAlignment="1">
      <alignment horizontal="center" wrapText="1"/>
    </xf>
    <xf numFmtId="49" fontId="18" fillId="0" borderId="13" xfId="0" applyNumberFormat="1" applyFont="1" applyBorder="1" applyAlignment="1">
      <alignment wrapText="1"/>
    </xf>
    <xf numFmtId="49" fontId="18" fillId="0" borderId="14" xfId="0" applyNumberFormat="1" applyFont="1" applyBorder="1" applyAlignment="1">
      <alignment wrapText="1"/>
    </xf>
    <xf numFmtId="3" fontId="18" fillId="0" borderId="14" xfId="0" applyNumberFormat="1" applyFont="1" applyBorder="1" applyAlignment="1">
      <alignment horizontal="right" wrapText="1"/>
    </xf>
    <xf numFmtId="9" fontId="18" fillId="0" borderId="14" xfId="61" applyFont="1" applyFill="1" applyBorder="1" applyAlignment="1">
      <alignment horizontal="right" wrapText="1"/>
    </xf>
    <xf numFmtId="14" fontId="18" fillId="0" borderId="14" xfId="0" applyNumberFormat="1" applyFont="1" applyBorder="1" applyAlignment="1">
      <alignment horizontal="right" wrapText="1"/>
    </xf>
    <xf numFmtId="9" fontId="18" fillId="0" borderId="15" xfId="61" applyFont="1" applyBorder="1" applyAlignment="1">
      <alignment horizontal="center" wrapText="1"/>
    </xf>
    <xf numFmtId="0" fontId="19" fillId="0" borderId="0" xfId="0" applyFont="1"/>
    <xf numFmtId="0" fontId="23" fillId="0" borderId="0" xfId="0" applyFont="1"/>
    <xf numFmtId="0" fontId="20" fillId="0" borderId="0" xfId="0" applyFont="1"/>
    <xf numFmtId="0" fontId="22" fillId="0" borderId="0" xfId="0" applyFont="1"/>
    <xf numFmtId="0" fontId="1" fillId="0" borderId="0" xfId="0" applyFont="1"/>
    <xf numFmtId="0" fontId="24" fillId="0" borderId="0" xfId="0" applyFont="1"/>
    <xf numFmtId="49" fontId="18" fillId="0" borderId="16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3" fontId="18" fillId="0" borderId="17" xfId="0" applyNumberFormat="1" applyFont="1" applyBorder="1" applyAlignment="1">
      <alignment horizontal="right" wrapText="1"/>
    </xf>
    <xf numFmtId="9" fontId="18" fillId="0" borderId="17" xfId="61" applyFont="1" applyFill="1" applyBorder="1" applyAlignment="1">
      <alignment horizontal="right" wrapText="1"/>
    </xf>
    <xf numFmtId="14" fontId="18" fillId="0" borderId="17" xfId="0" applyNumberFormat="1" applyFont="1" applyBorder="1" applyAlignment="1">
      <alignment horizontal="right" wrapText="1"/>
    </xf>
    <xf numFmtId="9" fontId="18" fillId="0" borderId="18" xfId="61" applyFont="1" applyBorder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Font="1" applyFill="1"/>
    <xf numFmtId="0" fontId="0" fillId="0" borderId="22" xfId="62" applyFont="1" applyFill="1" applyBorder="1">
      <alignment/>
      <protection/>
    </xf>
    <xf numFmtId="0" fontId="0" fillId="0" borderId="22" xfId="62" applyFont="1" applyFill="1" applyBorder="1" applyAlignment="1">
      <alignment/>
      <protection/>
    </xf>
    <xf numFmtId="0" fontId="0" fillId="0" borderId="23" xfId="62" applyFont="1" applyFill="1" applyBorder="1">
      <alignment/>
      <protection/>
    </xf>
    <xf numFmtId="0" fontId="16" fillId="0" borderId="22" xfId="62" applyFont="1" applyFill="1" applyBorder="1">
      <alignment/>
      <protection/>
    </xf>
    <xf numFmtId="9" fontId="0" fillId="0" borderId="0" xfId="61" applyFont="1" applyFill="1" applyAlignment="1">
      <alignment horizontal="center"/>
    </xf>
    <xf numFmtId="0" fontId="25" fillId="0" borderId="0" xfId="0" applyFont="1"/>
    <xf numFmtId="0" fontId="16" fillId="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9" xfId="0" applyFont="1" applyBorder="1"/>
    <xf numFmtId="3" fontId="16" fillId="0" borderId="20" xfId="0" applyNumberFormat="1" applyFont="1" applyBorder="1"/>
    <xf numFmtId="3" fontId="16" fillId="0" borderId="21" xfId="0" applyNumberFormat="1" applyFont="1" applyBorder="1"/>
    <xf numFmtId="3" fontId="0" fillId="0" borderId="17" xfId="0" applyNumberFormat="1" applyBorder="1"/>
    <xf numFmtId="0" fontId="26" fillId="0" borderId="0" xfId="0" applyFont="1"/>
    <xf numFmtId="3" fontId="0" fillId="0" borderId="10" xfId="0" applyNumberFormat="1" applyBorder="1"/>
    <xf numFmtId="3" fontId="0" fillId="0" borderId="0" xfId="0" applyNumberFormat="1"/>
    <xf numFmtId="9" fontId="27" fillId="0" borderId="17" xfId="65" applyFont="1" applyBorder="1"/>
    <xf numFmtId="0" fontId="27" fillId="0" borderId="16" xfId="0" applyFont="1" applyBorder="1"/>
    <xf numFmtId="9" fontId="27" fillId="0" borderId="17" xfId="65" applyFont="1" applyBorder="1" applyAlignment="1">
      <alignment horizontal="right"/>
    </xf>
    <xf numFmtId="9" fontId="27" fillId="0" borderId="18" xfId="65" applyFont="1" applyBorder="1" applyAlignment="1">
      <alignment horizontal="right"/>
    </xf>
    <xf numFmtId="0" fontId="0" fillId="0" borderId="11" xfId="0" applyBorder="1"/>
    <xf numFmtId="0" fontId="0" fillId="0" borderId="13" xfId="0" applyBorder="1"/>
    <xf numFmtId="3" fontId="0" fillId="0" borderId="14" xfId="0" applyNumberFormat="1" applyBorder="1"/>
    <xf numFmtId="0" fontId="27" fillId="0" borderId="24" xfId="0" applyFont="1" applyBorder="1"/>
    <xf numFmtId="9" fontId="27" fillId="0" borderId="25" xfId="65" applyFont="1" applyBorder="1" applyAlignment="1">
      <alignment horizontal="right"/>
    </xf>
    <xf numFmtId="9" fontId="27" fillId="0" borderId="26" xfId="65" applyFont="1" applyBorder="1" applyAlignment="1">
      <alignment horizontal="right"/>
    </xf>
    <xf numFmtId="0" fontId="28" fillId="0" borderId="0" xfId="0" applyFont="1"/>
    <xf numFmtId="0" fontId="0" fillId="0" borderId="0" xfId="0" applyFont="1" applyFill="1" applyAlignment="1">
      <alignment horizontal="right"/>
    </xf>
    <xf numFmtId="0" fontId="16" fillId="8" borderId="27" xfId="62" applyFont="1" applyFill="1" applyBorder="1" applyAlignment="1">
      <alignment horizontal="center"/>
      <protection/>
    </xf>
    <xf numFmtId="0" fontId="16" fillId="8" borderId="23" xfId="62" applyFont="1" applyFill="1" applyBorder="1" applyAlignment="1">
      <alignment/>
      <protection/>
    </xf>
    <xf numFmtId="165" fontId="0" fillId="0" borderId="0" xfId="63" applyNumberFormat="1" applyFont="1" applyFill="1" applyBorder="1"/>
    <xf numFmtId="165" fontId="0" fillId="0" borderId="28" xfId="63" applyNumberFormat="1" applyFont="1" applyFill="1" applyBorder="1"/>
    <xf numFmtId="165" fontId="0" fillId="0" borderId="0" xfId="63" applyNumberFormat="1" applyFont="1" applyFill="1" applyBorder="1" applyAlignment="1">
      <alignment/>
    </xf>
    <xf numFmtId="165" fontId="0" fillId="0" borderId="28" xfId="63" applyNumberFormat="1" applyFont="1" applyFill="1" applyBorder="1" applyAlignment="1">
      <alignment/>
    </xf>
    <xf numFmtId="165" fontId="0" fillId="0" borderId="29" xfId="63" applyNumberFormat="1" applyFont="1" applyFill="1" applyBorder="1"/>
    <xf numFmtId="165" fontId="0" fillId="0" borderId="30" xfId="63" applyNumberFormat="1" applyFont="1" applyFill="1" applyBorder="1"/>
    <xf numFmtId="165" fontId="16" fillId="0" borderId="0" xfId="63" applyNumberFormat="1" applyFont="1" applyFill="1" applyBorder="1"/>
    <xf numFmtId="165" fontId="0" fillId="0" borderId="29" xfId="63" applyNumberFormat="1" applyFont="1" applyFill="1" applyBorder="1" applyAlignment="1">
      <alignment/>
    </xf>
    <xf numFmtId="165" fontId="0" fillId="0" borderId="30" xfId="63" applyNumberFormat="1" applyFont="1" applyFill="1" applyBorder="1" applyAlignment="1">
      <alignment/>
    </xf>
    <xf numFmtId="165" fontId="16" fillId="0" borderId="0" xfId="63" applyNumberFormat="1" applyFont="1" applyFill="1" applyBorder="1" applyAlignment="1">
      <alignment/>
    </xf>
    <xf numFmtId="43" fontId="16" fillId="8" borderId="31" xfId="63" applyFont="1" applyFill="1" applyBorder="1" applyAlignment="1">
      <alignment horizontal="right"/>
    </xf>
    <xf numFmtId="43" fontId="16" fillId="8" borderId="32" xfId="63" applyFont="1" applyFill="1" applyBorder="1" applyAlignment="1">
      <alignment horizontal="right"/>
    </xf>
    <xf numFmtId="14" fontId="0" fillId="0" borderId="0" xfId="62" applyNumberFormat="1" applyFont="1" applyFill="1" applyBorder="1" applyAlignment="1">
      <alignment horizontal="right"/>
      <protection/>
    </xf>
    <xf numFmtId="14" fontId="0" fillId="0" borderId="29" xfId="62" applyNumberFormat="1" applyFont="1" applyFill="1" applyBorder="1" applyAlignment="1">
      <alignment horizontal="right"/>
      <protection/>
    </xf>
    <xf numFmtId="0" fontId="16" fillId="8" borderId="31" xfId="62" applyFont="1" applyFill="1" applyBorder="1" applyAlignment="1">
      <alignment horizontal="right"/>
      <protection/>
    </xf>
    <xf numFmtId="0" fontId="16" fillId="8" borderId="29" xfId="62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29" xfId="62" applyFont="1" applyFill="1" applyBorder="1" applyAlignment="1">
      <alignment horizontal="right"/>
      <protection/>
    </xf>
    <xf numFmtId="0" fontId="25" fillId="0" borderId="0" xfId="0" applyFont="1" applyFill="1"/>
    <xf numFmtId="0" fontId="0" fillId="0" borderId="0" xfId="0" applyFont="1"/>
    <xf numFmtId="164" fontId="0" fillId="8" borderId="29" xfId="63" applyNumberFormat="1" applyFont="1" applyFill="1" applyBorder="1" applyAlignment="1">
      <alignment horizontal="right"/>
    </xf>
    <xf numFmtId="164" fontId="0" fillId="8" borderId="30" xfId="63" applyNumberFormat="1" applyFont="1" applyFill="1" applyBorder="1" applyAlignment="1">
      <alignment horizontal="right"/>
    </xf>
    <xf numFmtId="9" fontId="27" fillId="0" borderId="18" xfId="65" applyFont="1" applyBorder="1"/>
    <xf numFmtId="0" fontId="0" fillId="0" borderId="16" xfId="0" applyBorder="1"/>
    <xf numFmtId="3" fontId="0" fillId="0" borderId="18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20" fillId="0" borderId="0" xfId="0" applyNumberFormat="1" applyFont="1"/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20" fillId="0" borderId="0" xfId="0" applyNumberFormat="1" applyFont="1"/>
    <xf numFmtId="3" fontId="0" fillId="0" borderId="0" xfId="0" applyNumberFormat="1" applyFont="1" applyFill="1"/>
    <xf numFmtId="9" fontId="0" fillId="0" borderId="0" xfId="61" applyFont="1" applyFill="1"/>
    <xf numFmtId="3" fontId="20" fillId="0" borderId="0" xfId="0" applyNumberFormat="1" applyFont="1"/>
    <xf numFmtId="3" fontId="22" fillId="0" borderId="0" xfId="0" applyNumberFormat="1" applyFont="1"/>
    <xf numFmtId="9" fontId="20" fillId="0" borderId="0" xfId="61" applyFont="1"/>
    <xf numFmtId="9" fontId="22" fillId="0" borderId="0" xfId="61" applyFont="1"/>
    <xf numFmtId="3" fontId="20" fillId="33" borderId="0" xfId="0" applyNumberFormat="1" applyFont="1" applyFill="1"/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Procenta" xfId="61"/>
    <cellStyle name="Normal 2" xfId="62"/>
    <cellStyle name="Comma 2" xfId="63"/>
    <cellStyle name="Percent 2" xfId="64"/>
    <cellStyle name="Percent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0</xdr:row>
      <xdr:rowOff>104775</xdr:rowOff>
    </xdr:from>
    <xdr:to>
      <xdr:col>5</xdr:col>
      <xdr:colOff>1295400</xdr:colOff>
      <xdr:row>1</xdr:row>
      <xdr:rowOff>171450</xdr:rowOff>
    </xdr:to>
    <xdr:pic>
      <xdr:nvPicPr>
        <xdr:cNvPr id="2" name="Picture 1" descr="Controller Institut - semináře a školení pro finanční poz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104775"/>
          <a:ext cx="1581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123825</xdr:rowOff>
    </xdr:from>
    <xdr:to>
      <xdr:col>7</xdr:col>
      <xdr:colOff>409575</xdr:colOff>
      <xdr:row>2</xdr:row>
      <xdr:rowOff>104775</xdr:rowOff>
    </xdr:to>
    <xdr:pic>
      <xdr:nvPicPr>
        <xdr:cNvPr id="3" name="Picture 2" descr="Controller Institut - semináře a školení pro finanční poz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2825" y="123825"/>
          <a:ext cx="1581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971550</xdr:colOff>
      <xdr:row>1</xdr:row>
      <xdr:rowOff>9525</xdr:rowOff>
    </xdr:from>
    <xdr:to>
      <xdr:col>5</xdr:col>
      <xdr:colOff>1171575</xdr:colOff>
      <xdr:row>2</xdr:row>
      <xdr:rowOff>123825</xdr:rowOff>
    </xdr:to>
    <xdr:pic>
      <xdr:nvPicPr>
        <xdr:cNvPr id="2" name="Picture 1" descr="Controller Institut - semináře a školení pro finanční poz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200025"/>
          <a:ext cx="1590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workbookViewId="0" topLeftCell="A5">
      <selection activeCell="D29" sqref="D29:F29"/>
    </sheetView>
  </sheetViews>
  <sheetFormatPr defaultColWidth="8.8515625" defaultRowHeight="15"/>
  <cols>
    <col min="1" max="1" width="31.421875" style="0" customWidth="1"/>
    <col min="2" max="2" width="24.7109375" style="0" customWidth="1"/>
    <col min="3" max="6" width="21.421875" style="0" customWidth="1"/>
  </cols>
  <sheetData>
    <row r="1" ht="18.75">
      <c r="A1" s="61" t="s">
        <v>158</v>
      </c>
    </row>
    <row r="2" ht="15">
      <c r="A2" s="84" t="s">
        <v>159</v>
      </c>
    </row>
    <row r="3" ht="15">
      <c r="A3" s="41"/>
    </row>
    <row r="4" spans="2:6" ht="21" customHeight="1">
      <c r="B4" s="42">
        <v>2017</v>
      </c>
      <c r="C4" s="42" t="s">
        <v>39</v>
      </c>
      <c r="D4" s="42" t="s">
        <v>38</v>
      </c>
      <c r="E4" s="42" t="s">
        <v>40</v>
      </c>
      <c r="F4" s="42" t="s">
        <v>41</v>
      </c>
    </row>
    <row r="5" spans="2:6" ht="15.75" thickBot="1">
      <c r="B5" s="43"/>
      <c r="C5" s="43"/>
      <c r="D5" s="43"/>
      <c r="E5" s="43"/>
      <c r="F5" s="43"/>
    </row>
    <row r="6" spans="1:6" ht="15.75" thickBot="1">
      <c r="A6" s="44" t="s">
        <v>143</v>
      </c>
      <c r="B6" s="45">
        <f>SUM(B7:B9)</f>
        <v>476350000</v>
      </c>
      <c r="C6" s="45">
        <f>SUM(C7:C9)</f>
        <v>118820000</v>
      </c>
      <c r="D6" s="45">
        <f>SUM(D7:D9)</f>
        <v>116340000</v>
      </c>
      <c r="E6" s="45">
        <f>SUM(E7:E9)</f>
        <v>119490000</v>
      </c>
      <c r="F6" s="46">
        <f>SUM(F7:F9)</f>
        <v>121700000</v>
      </c>
    </row>
    <row r="7" spans="1:6" ht="15">
      <c r="A7" s="88" t="s">
        <v>142</v>
      </c>
      <c r="B7" s="47">
        <f>SUM(C7:F7)</f>
        <v>404300000</v>
      </c>
      <c r="C7" s="47">
        <v>98870000</v>
      </c>
      <c r="D7" s="47">
        <v>97640000</v>
      </c>
      <c r="E7" s="47">
        <v>102790000</v>
      </c>
      <c r="F7" s="89">
        <v>105000000</v>
      </c>
    </row>
    <row r="8" spans="1:6" ht="15">
      <c r="A8" s="55" t="s">
        <v>144</v>
      </c>
      <c r="B8" s="49">
        <f>SUM(C8:F8)</f>
        <v>41050000</v>
      </c>
      <c r="C8" s="47">
        <f>'Dlouhodobé kontrakty'!K17</f>
        <v>12200000</v>
      </c>
      <c r="D8" s="47">
        <f>'Dlouhodobé kontrakty'!L17</f>
        <v>10950000</v>
      </c>
      <c r="E8" s="47">
        <f>'Dlouhodobé kontrakty'!M17</f>
        <v>8950000</v>
      </c>
      <c r="F8" s="89">
        <f>'Dlouhodobé kontrakty'!N17</f>
        <v>8950000</v>
      </c>
    </row>
    <row r="9" spans="1:6" ht="15.75" thickBot="1">
      <c r="A9" s="56" t="s">
        <v>145</v>
      </c>
      <c r="B9" s="57">
        <f>SUM(C9:F9)</f>
        <v>31000000</v>
      </c>
      <c r="C9" s="90">
        <f>'Dlouhodobé kontrakty'!K26</f>
        <v>7750000</v>
      </c>
      <c r="D9" s="90">
        <f>'Dlouhodobé kontrakty'!L26</f>
        <v>7750000</v>
      </c>
      <c r="E9" s="90">
        <f>'Dlouhodobé kontrakty'!M26</f>
        <v>7750000</v>
      </c>
      <c r="F9" s="91">
        <f>'Dlouhodobé kontrakty'!N26</f>
        <v>7750000</v>
      </c>
    </row>
    <row r="10" spans="2:6" ht="15.75" thickBot="1">
      <c r="B10" s="50"/>
      <c r="C10" s="50"/>
      <c r="D10" s="50"/>
      <c r="E10" s="50"/>
      <c r="F10" s="50"/>
    </row>
    <row r="11" spans="1:6" ht="15.75" thickBot="1">
      <c r="A11" s="44" t="s">
        <v>121</v>
      </c>
      <c r="B11" s="45">
        <f>SUM(B13:B15)</f>
        <v>152207000</v>
      </c>
      <c r="C11" s="45">
        <f>SUM(C13:C15)</f>
        <v>34465000</v>
      </c>
      <c r="D11" s="45">
        <f>SUM(D13:D15)</f>
        <v>37247000</v>
      </c>
      <c r="E11" s="45">
        <f>SUM(E13:E15)</f>
        <v>39920000</v>
      </c>
      <c r="F11" s="46">
        <f>SUM(F13:F15)</f>
        <v>40575000</v>
      </c>
    </row>
    <row r="12" spans="1:6" ht="15">
      <c r="A12" s="52" t="s">
        <v>141</v>
      </c>
      <c r="B12" s="51">
        <f>B11/B6</f>
        <v>0.3195276582344914</v>
      </c>
      <c r="C12" s="51">
        <f>C13/C7</f>
        <v>0.24087185192677252</v>
      </c>
      <c r="D12" s="51">
        <f>D13/D7</f>
        <v>0.278799672265465</v>
      </c>
      <c r="E12" s="51">
        <f>E13/E7</f>
        <v>0.30007782858254695</v>
      </c>
      <c r="F12" s="87">
        <f>F13/F7</f>
        <v>0.3</v>
      </c>
    </row>
    <row r="13" spans="1:6" ht="15">
      <c r="A13" s="88" t="s">
        <v>142</v>
      </c>
      <c r="B13" s="49">
        <f>SUM(C13:F13)</f>
        <v>113382000</v>
      </c>
      <c r="C13" s="47">
        <v>23815000</v>
      </c>
      <c r="D13" s="47">
        <v>27222000</v>
      </c>
      <c r="E13" s="47">
        <v>30845000</v>
      </c>
      <c r="F13" s="89">
        <v>31500000</v>
      </c>
    </row>
    <row r="14" spans="1:6" ht="15">
      <c r="A14" s="55" t="s">
        <v>144</v>
      </c>
      <c r="B14" s="49">
        <f>SUM(C14:F14)</f>
        <v>21525000</v>
      </c>
      <c r="C14" s="47">
        <f>'Dlouhodobé kontrakty'!P17</f>
        <v>6325000</v>
      </c>
      <c r="D14" s="47">
        <f>'Dlouhodobé kontrakty'!Q17</f>
        <v>5700000</v>
      </c>
      <c r="E14" s="47">
        <f>'Dlouhodobé kontrakty'!R17</f>
        <v>4750000</v>
      </c>
      <c r="F14" s="89">
        <f>'Dlouhodobé kontrakty'!S17</f>
        <v>4750000</v>
      </c>
    </row>
    <row r="15" spans="1:6" ht="15.75" thickBot="1">
      <c r="A15" s="56" t="s">
        <v>145</v>
      </c>
      <c r="B15" s="57">
        <f>SUM(C15:F15)</f>
        <v>17300000</v>
      </c>
      <c r="C15" s="90">
        <f>'Dlouhodobé kontrakty'!P26</f>
        <v>4325000</v>
      </c>
      <c r="D15" s="90">
        <f>'Dlouhodobé kontrakty'!Q26</f>
        <v>4325000</v>
      </c>
      <c r="E15" s="90">
        <f>'Dlouhodobé kontrakty'!R26</f>
        <v>4325000</v>
      </c>
      <c r="F15" s="91">
        <f>'Dlouhodobé kontrakty'!S26</f>
        <v>4325000</v>
      </c>
    </row>
    <row r="17" spans="2:6" ht="21" customHeight="1">
      <c r="B17" s="42">
        <v>2017</v>
      </c>
      <c r="C17" s="42" t="s">
        <v>39</v>
      </c>
      <c r="D17" s="42" t="s">
        <v>38</v>
      </c>
      <c r="E17" s="42" t="s">
        <v>40</v>
      </c>
      <c r="F17" s="42" t="s">
        <v>41</v>
      </c>
    </row>
    <row r="18" ht="15.75" thickBot="1"/>
    <row r="19" spans="1:6" ht="15.75" thickBot="1">
      <c r="A19" s="44" t="s">
        <v>140</v>
      </c>
      <c r="B19" s="45">
        <f>SUM(B21:B29)</f>
        <v>-146304010</v>
      </c>
      <c r="C19" s="45">
        <f>SUM(C21:C29)</f>
        <v>-33752700</v>
      </c>
      <c r="D19" s="45">
        <f>SUM(D21:D29)</f>
        <v>-37504680</v>
      </c>
      <c r="E19" s="45">
        <f>SUM(E21:E29)</f>
        <v>-35614790</v>
      </c>
      <c r="F19" s="46">
        <f>SUM(F21:F29)</f>
        <v>-39431840</v>
      </c>
    </row>
    <row r="20" spans="1:6" ht="15">
      <c r="A20" s="52" t="s">
        <v>141</v>
      </c>
      <c r="B20" s="53">
        <f>B19/B6</f>
        <v>-0.3071355305972499</v>
      </c>
      <c r="C20" s="53">
        <f>C19/C6</f>
        <v>-0.28406581383605456</v>
      </c>
      <c r="D20" s="53">
        <f>D19/D6</f>
        <v>-0.32237132542547703</v>
      </c>
      <c r="E20" s="53">
        <f>E19/E6</f>
        <v>-0.2980566574608754</v>
      </c>
      <c r="F20" s="54">
        <f>F19/F6</f>
        <v>-0.3240085456039441</v>
      </c>
    </row>
    <row r="21" spans="1:6" ht="15">
      <c r="A21" s="55" t="s">
        <v>132</v>
      </c>
      <c r="B21" s="49">
        <f>SUM(C21:F21)</f>
        <v>-125226000</v>
      </c>
      <c r="C21" s="49">
        <f>-'Režijní náklady'!D16</f>
        <v>-30000000</v>
      </c>
      <c r="D21" s="49">
        <f>-'Režijní náklady'!E16</f>
        <v>-31608000</v>
      </c>
      <c r="E21" s="49">
        <f>-'Režijní náklady'!F16</f>
        <v>-31809000</v>
      </c>
      <c r="F21" s="49">
        <f>-'Režijní náklady'!G16</f>
        <v>-31809000</v>
      </c>
    </row>
    <row r="22" spans="1:6" ht="15">
      <c r="A22" s="55" t="s">
        <v>122</v>
      </c>
      <c r="B22" s="49">
        <f aca="true" t="shared" si="0" ref="B22:B29">SUM(C22:F22)</f>
        <v>-3600000</v>
      </c>
      <c r="C22" s="49">
        <f>-'Režijní náklady'!D20</f>
        <v>-900000</v>
      </c>
      <c r="D22" s="49">
        <f>-'Režijní náklady'!E20</f>
        <v>-900000</v>
      </c>
      <c r="E22" s="49">
        <f>-'Režijní náklady'!F20</f>
        <v>-900000</v>
      </c>
      <c r="F22" s="49">
        <f>-'Režijní náklady'!G20</f>
        <v>-900000</v>
      </c>
    </row>
    <row r="23" spans="1:6" ht="15">
      <c r="A23" s="55" t="s">
        <v>123</v>
      </c>
      <c r="B23" s="49">
        <f t="shared" si="0"/>
        <v>-1252260</v>
      </c>
      <c r="C23" s="49">
        <f>-'Režijní náklady'!D25</f>
        <v>-300000</v>
      </c>
      <c r="D23" s="49">
        <f>-'Režijní náklady'!E25</f>
        <v>-316080</v>
      </c>
      <c r="E23" s="49">
        <f>-'Režijní náklady'!F25</f>
        <v>-318090</v>
      </c>
      <c r="F23" s="49">
        <f>-'Režijní náklady'!G25</f>
        <v>-318090</v>
      </c>
    </row>
    <row r="24" spans="1:6" ht="15">
      <c r="A24" s="55" t="s">
        <v>124</v>
      </c>
      <c r="B24" s="49">
        <f t="shared" si="0"/>
        <v>-830000</v>
      </c>
      <c r="C24" s="49">
        <f>-'Režijní náklady'!D27</f>
        <v>-200000</v>
      </c>
      <c r="D24" s="49">
        <f>-'Režijní náklady'!E27</f>
        <v>-210000</v>
      </c>
      <c r="E24" s="49">
        <f>-'Režijní náklady'!F27</f>
        <v>-210000</v>
      </c>
      <c r="F24" s="49">
        <f>-'Režijní náklady'!G27</f>
        <v>-210000</v>
      </c>
    </row>
    <row r="25" spans="1:6" ht="15">
      <c r="A25" s="55" t="s">
        <v>125</v>
      </c>
      <c r="B25" s="49">
        <f t="shared" si="0"/>
        <v>-9527000</v>
      </c>
      <c r="C25" s="49">
        <f>-'Režijní náklady'!D32</f>
        <v>-952700</v>
      </c>
      <c r="D25" s="49">
        <f>-'Režijní náklady'!E32</f>
        <v>-2858100</v>
      </c>
      <c r="E25" s="49">
        <f>-'Režijní náklady'!F32</f>
        <v>-952700</v>
      </c>
      <c r="F25" s="49">
        <f>-'Režijní náklady'!G32</f>
        <v>-4763500</v>
      </c>
    </row>
    <row r="26" spans="1:6" ht="15">
      <c r="A26" s="55" t="s">
        <v>126</v>
      </c>
      <c r="B26" s="49">
        <f t="shared" si="0"/>
        <v>-3000000</v>
      </c>
      <c r="C26" s="49">
        <f>-'Režijní náklady'!D36</f>
        <v>-750000</v>
      </c>
      <c r="D26" s="49">
        <f>-'Režijní náklady'!E36</f>
        <v>-750000</v>
      </c>
      <c r="E26" s="49">
        <f>-'Režijní náklady'!F36</f>
        <v>-750000</v>
      </c>
      <c r="F26" s="49">
        <f>-'Režijní náklady'!G36</f>
        <v>-750000</v>
      </c>
    </row>
    <row r="27" spans="1:6" ht="15">
      <c r="A27" s="55" t="s">
        <v>127</v>
      </c>
      <c r="B27" s="49">
        <f t="shared" si="0"/>
        <v>-800000</v>
      </c>
      <c r="C27" s="49">
        <f>-'Režijní náklady'!D41</f>
        <v>-150000</v>
      </c>
      <c r="D27" s="49">
        <f>-'Režijní náklady'!E41</f>
        <v>-350000</v>
      </c>
      <c r="E27" s="49">
        <f>-'Režijní náklady'!F41</f>
        <v>-150000</v>
      </c>
      <c r="F27" s="49">
        <f>-'Režijní náklady'!G41</f>
        <v>-150000</v>
      </c>
    </row>
    <row r="28" spans="1:6" ht="15">
      <c r="A28" s="55" t="s">
        <v>128</v>
      </c>
      <c r="B28" s="49">
        <f t="shared" si="0"/>
        <v>-800000</v>
      </c>
      <c r="C28" s="49">
        <f>-'Režijní náklady'!D43</f>
        <v>-200000</v>
      </c>
      <c r="D28" s="49">
        <f>-'Režijní náklady'!E43</f>
        <v>-200000</v>
      </c>
      <c r="E28" s="49">
        <f>-'Režijní náklady'!F43</f>
        <v>-200000</v>
      </c>
      <c r="F28" s="49">
        <f>-'Režijní náklady'!G43</f>
        <v>-200000</v>
      </c>
    </row>
    <row r="29" spans="1:6" ht="15.75" thickBot="1">
      <c r="A29" s="56" t="s">
        <v>129</v>
      </c>
      <c r="B29" s="57">
        <f t="shared" si="0"/>
        <v>-1268750</v>
      </c>
      <c r="C29" s="57">
        <f>-'Režijní náklady'!D51</f>
        <v>-300000</v>
      </c>
      <c r="D29" s="57">
        <f>-'Režijní náklady'!E51</f>
        <v>-312500</v>
      </c>
      <c r="E29" s="57">
        <f>-'Režijní náklady'!F51</f>
        <v>-325000</v>
      </c>
      <c r="F29" s="57">
        <f>-'Režijní náklady'!G51</f>
        <v>-331250</v>
      </c>
    </row>
    <row r="30" ht="15.75" thickBot="1"/>
    <row r="31" spans="1:6" ht="15.75" thickBot="1">
      <c r="A31" s="44" t="s">
        <v>130</v>
      </c>
      <c r="B31" s="45">
        <f>B11+B19</f>
        <v>5902990</v>
      </c>
      <c r="C31" s="45">
        <f>C11+C19</f>
        <v>712300</v>
      </c>
      <c r="D31" s="45">
        <f aca="true" t="shared" si="1" ref="D31:F31">D11+D19</f>
        <v>-257680</v>
      </c>
      <c r="E31" s="45">
        <f t="shared" si="1"/>
        <v>4305210</v>
      </c>
      <c r="F31" s="46">
        <f t="shared" si="1"/>
        <v>1143160</v>
      </c>
    </row>
    <row r="32" spans="1:6" ht="15.75" thickBot="1">
      <c r="A32" s="58" t="s">
        <v>141</v>
      </c>
      <c r="B32" s="59">
        <f>B31/B6</f>
        <v>0.012392127637241524</v>
      </c>
      <c r="C32" s="59">
        <f>C31/C6</f>
        <v>0.005994782023228413</v>
      </c>
      <c r="D32" s="59">
        <f>D31/D6</f>
        <v>-0.0022148873990029223</v>
      </c>
      <c r="E32" s="59">
        <f>E31/E6</f>
        <v>0.0360298769771529</v>
      </c>
      <c r="F32" s="60">
        <f>F31/F6</f>
        <v>0.009393262119967133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2"/>
  <sheetViews>
    <sheetView showGridLines="0" workbookViewId="0" topLeftCell="A1">
      <pane ySplit="5" topLeftCell="A6" activePane="bottomLeft" state="frozen"/>
      <selection pane="bottomLeft" activeCell="J6" sqref="J6"/>
    </sheetView>
  </sheetViews>
  <sheetFormatPr defaultColWidth="8.8515625" defaultRowHeight="15"/>
  <cols>
    <col min="1" max="1" width="15.421875" style="1" customWidth="1"/>
    <col min="2" max="2" width="18.00390625" style="1" bestFit="1" customWidth="1"/>
    <col min="3" max="3" width="33.8515625" style="1" bestFit="1" customWidth="1"/>
    <col min="4" max="4" width="14.421875" style="1" customWidth="1"/>
    <col min="5" max="5" width="9.8515625" style="1" customWidth="1"/>
    <col min="6" max="6" width="12.00390625" style="1" customWidth="1"/>
    <col min="7" max="7" width="24.421875" style="1" bestFit="1" customWidth="1"/>
    <col min="8" max="8" width="9.7109375" style="5" customWidth="1"/>
    <col min="9" max="9" width="5.421875" style="3" customWidth="1"/>
    <col min="10" max="10" width="12.28125" style="92" customWidth="1"/>
    <col min="11" max="11" width="11.7109375" style="92" customWidth="1"/>
    <col min="12" max="16384" width="8.8515625" style="1" customWidth="1"/>
  </cols>
  <sheetData>
    <row r="1" ht="12.75">
      <c r="A1" s="18" t="s">
        <v>97</v>
      </c>
    </row>
    <row r="2" ht="12.75">
      <c r="A2" s="18"/>
    </row>
    <row r="3" ht="12.75">
      <c r="A3" s="48" t="s">
        <v>157</v>
      </c>
    </row>
    <row r="4" ht="13.5" thickBot="1"/>
    <row r="5" spans="1:9" ht="30.75" customHeight="1" thickBot="1">
      <c r="A5" s="30" t="s">
        <v>0</v>
      </c>
      <c r="B5" s="31" t="s">
        <v>1</v>
      </c>
      <c r="C5" s="31" t="s">
        <v>2</v>
      </c>
      <c r="D5" s="31" t="s">
        <v>80</v>
      </c>
      <c r="E5" s="32" t="s">
        <v>81</v>
      </c>
      <c r="F5" s="31" t="s">
        <v>3</v>
      </c>
      <c r="G5" s="31" t="s">
        <v>4</v>
      </c>
      <c r="H5" s="33" t="s">
        <v>5</v>
      </c>
      <c r="I5" s="4"/>
    </row>
    <row r="6" spans="1:11" ht="15">
      <c r="A6" s="24" t="s">
        <v>71</v>
      </c>
      <c r="B6" s="25" t="s">
        <v>62</v>
      </c>
      <c r="C6" s="25" t="s">
        <v>88</v>
      </c>
      <c r="D6" s="26">
        <v>5500000</v>
      </c>
      <c r="E6" s="27">
        <v>0.3</v>
      </c>
      <c r="F6" s="28">
        <v>42755</v>
      </c>
      <c r="G6" s="25" t="s">
        <v>91</v>
      </c>
      <c r="H6" s="29">
        <v>0.4</v>
      </c>
      <c r="I6" s="2"/>
      <c r="J6" s="92">
        <f>D6*(1-E6)</f>
        <v>3849999.9999999995</v>
      </c>
      <c r="K6" s="92">
        <f>D6-J6*H6</f>
        <v>3960000</v>
      </c>
    </row>
    <row r="7" spans="1:11" ht="15">
      <c r="A7" s="10" t="s">
        <v>74</v>
      </c>
      <c r="B7" s="6" t="s">
        <v>29</v>
      </c>
      <c r="C7" s="6" t="s">
        <v>14</v>
      </c>
      <c r="D7" s="7">
        <v>3000000</v>
      </c>
      <c r="E7" s="8">
        <v>0.3</v>
      </c>
      <c r="F7" s="9">
        <v>42757</v>
      </c>
      <c r="G7" s="6" t="s">
        <v>93</v>
      </c>
      <c r="H7" s="11">
        <v>1</v>
      </c>
      <c r="I7" s="2"/>
      <c r="J7" s="92">
        <f aca="true" t="shared" si="0" ref="J7:J68">D7*(1-E7)</f>
        <v>2100000</v>
      </c>
      <c r="K7" s="92">
        <f aca="true" t="shared" si="1" ref="K7:K68">D7-J7*H7</f>
        <v>900000</v>
      </c>
    </row>
    <row r="8" spans="1:11" ht="15">
      <c r="A8" s="10" t="s">
        <v>74</v>
      </c>
      <c r="B8" s="6" t="s">
        <v>30</v>
      </c>
      <c r="C8" s="6" t="s">
        <v>82</v>
      </c>
      <c r="D8" s="7">
        <v>7000000</v>
      </c>
      <c r="E8" s="8">
        <v>0.3</v>
      </c>
      <c r="F8" s="9">
        <v>42760</v>
      </c>
      <c r="G8" s="6" t="s">
        <v>92</v>
      </c>
      <c r="H8" s="11">
        <v>0.6</v>
      </c>
      <c r="I8" s="2"/>
      <c r="J8" s="92">
        <f t="shared" si="0"/>
        <v>4900000</v>
      </c>
      <c r="K8" s="92">
        <f t="shared" si="1"/>
        <v>4060000</v>
      </c>
    </row>
    <row r="9" spans="1:11" ht="15">
      <c r="A9" s="10" t="s">
        <v>73</v>
      </c>
      <c r="B9" s="6" t="s">
        <v>61</v>
      </c>
      <c r="C9" s="6" t="s">
        <v>86</v>
      </c>
      <c r="D9" s="7">
        <v>8000000</v>
      </c>
      <c r="E9" s="8">
        <v>0.25</v>
      </c>
      <c r="F9" s="9">
        <v>42762</v>
      </c>
      <c r="G9" s="6" t="s">
        <v>93</v>
      </c>
      <c r="H9" s="11">
        <v>1</v>
      </c>
      <c r="I9" s="2"/>
      <c r="J9" s="92">
        <f t="shared" si="0"/>
        <v>6000000</v>
      </c>
      <c r="K9" s="92">
        <f t="shared" si="1"/>
        <v>2000000</v>
      </c>
    </row>
    <row r="10" spans="1:11" ht="15">
      <c r="A10" s="10" t="s">
        <v>73</v>
      </c>
      <c r="B10" s="6" t="s">
        <v>26</v>
      </c>
      <c r="C10" s="6" t="s">
        <v>6</v>
      </c>
      <c r="D10" s="7">
        <v>1000000</v>
      </c>
      <c r="E10" s="8">
        <v>0.25</v>
      </c>
      <c r="F10" s="9">
        <v>42763</v>
      </c>
      <c r="G10" s="6" t="s">
        <v>90</v>
      </c>
      <c r="H10" s="11">
        <v>0.1</v>
      </c>
      <c r="I10" s="2"/>
      <c r="J10" s="92">
        <f t="shared" si="0"/>
        <v>750000</v>
      </c>
      <c r="K10" s="92">
        <f t="shared" si="1"/>
        <v>925000</v>
      </c>
    </row>
    <row r="11" spans="1:11" ht="15">
      <c r="A11" s="10" t="s">
        <v>73</v>
      </c>
      <c r="B11" s="6" t="s">
        <v>19</v>
      </c>
      <c r="C11" s="6" t="s">
        <v>51</v>
      </c>
      <c r="D11" s="7">
        <v>2000000</v>
      </c>
      <c r="E11" s="8">
        <v>0.2</v>
      </c>
      <c r="F11" s="9">
        <v>42763</v>
      </c>
      <c r="G11" s="6" t="s">
        <v>93</v>
      </c>
      <c r="H11" s="11">
        <v>1</v>
      </c>
      <c r="I11" s="2"/>
      <c r="J11" s="92">
        <f t="shared" si="0"/>
        <v>1600000</v>
      </c>
      <c r="K11" s="92">
        <f t="shared" si="1"/>
        <v>400000</v>
      </c>
    </row>
    <row r="12" spans="1:11" ht="15">
      <c r="A12" s="10" t="s">
        <v>72</v>
      </c>
      <c r="B12" s="6" t="s">
        <v>26</v>
      </c>
      <c r="C12" s="6" t="s">
        <v>47</v>
      </c>
      <c r="D12" s="7">
        <v>7000000</v>
      </c>
      <c r="E12" s="8">
        <v>0.2</v>
      </c>
      <c r="F12" s="9">
        <v>42763</v>
      </c>
      <c r="G12" s="6" t="s">
        <v>92</v>
      </c>
      <c r="H12" s="11">
        <v>0.6</v>
      </c>
      <c r="I12" s="2"/>
      <c r="J12" s="92">
        <f t="shared" si="0"/>
        <v>5600000</v>
      </c>
      <c r="K12" s="92">
        <f t="shared" si="1"/>
        <v>3640000</v>
      </c>
    </row>
    <row r="13" spans="1:11" ht="15">
      <c r="A13" s="10" t="s">
        <v>71</v>
      </c>
      <c r="B13" s="6" t="s">
        <v>20</v>
      </c>
      <c r="C13" s="6" t="s">
        <v>52</v>
      </c>
      <c r="D13" s="7">
        <v>800000</v>
      </c>
      <c r="E13" s="8">
        <v>0.1</v>
      </c>
      <c r="F13" s="9">
        <v>42765</v>
      </c>
      <c r="G13" s="6" t="s">
        <v>92</v>
      </c>
      <c r="H13" s="11">
        <v>0.6</v>
      </c>
      <c r="I13" s="2"/>
      <c r="J13" s="92">
        <f t="shared" si="0"/>
        <v>720000</v>
      </c>
      <c r="K13" s="92">
        <f t="shared" si="1"/>
        <v>368000</v>
      </c>
    </row>
    <row r="14" spans="1:11" ht="15">
      <c r="A14" s="10" t="s">
        <v>72</v>
      </c>
      <c r="B14" s="6" t="s">
        <v>27</v>
      </c>
      <c r="C14" s="6" t="s">
        <v>7</v>
      </c>
      <c r="D14" s="7">
        <v>2400000</v>
      </c>
      <c r="E14" s="8">
        <v>0.1</v>
      </c>
      <c r="F14" s="9">
        <v>42766</v>
      </c>
      <c r="G14" s="6" t="s">
        <v>92</v>
      </c>
      <c r="H14" s="11">
        <v>0.6</v>
      </c>
      <c r="I14" s="2"/>
      <c r="J14" s="92">
        <f t="shared" si="0"/>
        <v>2160000</v>
      </c>
      <c r="K14" s="92">
        <f t="shared" si="1"/>
        <v>1104000</v>
      </c>
    </row>
    <row r="15" spans="1:11" ht="15">
      <c r="A15" s="10" t="s">
        <v>94</v>
      </c>
      <c r="B15" s="6" t="s">
        <v>107</v>
      </c>
      <c r="C15" s="6" t="s">
        <v>95</v>
      </c>
      <c r="D15" s="7">
        <v>1000000</v>
      </c>
      <c r="E15" s="8">
        <v>0.3</v>
      </c>
      <c r="F15" s="9">
        <v>42766</v>
      </c>
      <c r="G15" s="6" t="s">
        <v>93</v>
      </c>
      <c r="H15" s="11">
        <v>1</v>
      </c>
      <c r="I15" s="2"/>
      <c r="J15" s="92">
        <f t="shared" si="0"/>
        <v>700000</v>
      </c>
      <c r="K15" s="92">
        <f t="shared" si="1"/>
        <v>300000</v>
      </c>
    </row>
    <row r="16" spans="1:11" ht="15">
      <c r="A16" s="10" t="s">
        <v>71</v>
      </c>
      <c r="B16" s="6" t="s">
        <v>66</v>
      </c>
      <c r="C16" s="6" t="s">
        <v>48</v>
      </c>
      <c r="D16" s="7">
        <v>5000000</v>
      </c>
      <c r="E16" s="8">
        <v>0.5</v>
      </c>
      <c r="F16" s="9">
        <v>42769</v>
      </c>
      <c r="G16" s="6" t="s">
        <v>93</v>
      </c>
      <c r="H16" s="11">
        <v>1</v>
      </c>
      <c r="I16" s="2"/>
      <c r="J16" s="92">
        <f t="shared" si="0"/>
        <v>2500000</v>
      </c>
      <c r="K16" s="92">
        <f t="shared" si="1"/>
        <v>2500000</v>
      </c>
    </row>
    <row r="17" spans="1:11" ht="15">
      <c r="A17" s="10" t="s">
        <v>73</v>
      </c>
      <c r="B17" s="6" t="s">
        <v>31</v>
      </c>
      <c r="C17" s="6" t="s">
        <v>6</v>
      </c>
      <c r="D17" s="7">
        <v>50000000</v>
      </c>
      <c r="E17" s="8">
        <v>0.3</v>
      </c>
      <c r="F17" s="9">
        <v>42774</v>
      </c>
      <c r="G17" s="6" t="s">
        <v>90</v>
      </c>
      <c r="H17" s="11">
        <v>0.1</v>
      </c>
      <c r="I17" s="2"/>
      <c r="J17" s="92">
        <f t="shared" si="0"/>
        <v>35000000</v>
      </c>
      <c r="K17" s="92">
        <f t="shared" si="1"/>
        <v>46500000</v>
      </c>
    </row>
    <row r="18" spans="1:11" ht="15">
      <c r="A18" s="10" t="s">
        <v>73</v>
      </c>
      <c r="B18" s="6" t="s">
        <v>32</v>
      </c>
      <c r="C18" s="6" t="s">
        <v>9</v>
      </c>
      <c r="D18" s="7">
        <v>1000000</v>
      </c>
      <c r="E18" s="8">
        <v>0.5</v>
      </c>
      <c r="F18" s="9">
        <v>42774</v>
      </c>
      <c r="G18" s="6" t="s">
        <v>90</v>
      </c>
      <c r="H18" s="11">
        <v>0.1</v>
      </c>
      <c r="I18" s="2"/>
      <c r="J18" s="92">
        <f t="shared" si="0"/>
        <v>500000</v>
      </c>
      <c r="K18" s="92">
        <f t="shared" si="1"/>
        <v>950000</v>
      </c>
    </row>
    <row r="19" spans="1:11" ht="15">
      <c r="A19" s="10" t="s">
        <v>74</v>
      </c>
      <c r="B19" s="6" t="s">
        <v>29</v>
      </c>
      <c r="C19" s="6" t="s">
        <v>14</v>
      </c>
      <c r="D19" s="7">
        <v>3000000</v>
      </c>
      <c r="E19" s="8">
        <v>0.3</v>
      </c>
      <c r="F19" s="9">
        <v>42788</v>
      </c>
      <c r="G19" s="6" t="s">
        <v>93</v>
      </c>
      <c r="H19" s="11">
        <v>1</v>
      </c>
      <c r="I19" s="2"/>
      <c r="J19" s="92">
        <f t="shared" si="0"/>
        <v>2100000</v>
      </c>
      <c r="K19" s="92">
        <f t="shared" si="1"/>
        <v>900000</v>
      </c>
    </row>
    <row r="20" spans="1:11" ht="15">
      <c r="A20" s="10" t="s">
        <v>73</v>
      </c>
      <c r="B20" s="6" t="s">
        <v>18</v>
      </c>
      <c r="C20" s="6" t="s">
        <v>6</v>
      </c>
      <c r="D20" s="7">
        <v>1000000</v>
      </c>
      <c r="E20" s="8">
        <v>0.4</v>
      </c>
      <c r="F20" s="9">
        <v>42792</v>
      </c>
      <c r="G20" s="6" t="s">
        <v>91</v>
      </c>
      <c r="H20" s="11">
        <v>0.4</v>
      </c>
      <c r="I20" s="2"/>
      <c r="J20" s="92">
        <f t="shared" si="0"/>
        <v>600000</v>
      </c>
      <c r="K20" s="92">
        <f t="shared" si="1"/>
        <v>760000</v>
      </c>
    </row>
    <row r="21" spans="1:11" ht="15">
      <c r="A21" s="10" t="s">
        <v>73</v>
      </c>
      <c r="B21" s="6" t="s">
        <v>61</v>
      </c>
      <c r="C21" s="6" t="s">
        <v>86</v>
      </c>
      <c r="D21" s="7">
        <v>8000000</v>
      </c>
      <c r="E21" s="8">
        <v>0.25</v>
      </c>
      <c r="F21" s="9">
        <v>42793</v>
      </c>
      <c r="G21" s="6" t="s">
        <v>93</v>
      </c>
      <c r="H21" s="11">
        <v>1</v>
      </c>
      <c r="I21" s="2"/>
      <c r="J21" s="92">
        <f t="shared" si="0"/>
        <v>6000000</v>
      </c>
      <c r="K21" s="92">
        <f t="shared" si="1"/>
        <v>2000000</v>
      </c>
    </row>
    <row r="22" spans="1:11" ht="15">
      <c r="A22" s="10" t="s">
        <v>72</v>
      </c>
      <c r="B22" s="6" t="s">
        <v>26</v>
      </c>
      <c r="C22" s="6" t="s">
        <v>47</v>
      </c>
      <c r="D22" s="7">
        <v>7000000</v>
      </c>
      <c r="E22" s="8">
        <v>0.2</v>
      </c>
      <c r="F22" s="9">
        <v>42794</v>
      </c>
      <c r="G22" s="6" t="s">
        <v>90</v>
      </c>
      <c r="H22" s="11">
        <v>0.1</v>
      </c>
      <c r="I22" s="2"/>
      <c r="J22" s="92">
        <f t="shared" si="0"/>
        <v>5600000</v>
      </c>
      <c r="K22" s="92">
        <f t="shared" si="1"/>
        <v>6440000</v>
      </c>
    </row>
    <row r="23" spans="1:11" ht="15">
      <c r="A23" s="10" t="s">
        <v>72</v>
      </c>
      <c r="B23" s="6" t="s">
        <v>60</v>
      </c>
      <c r="C23" s="6" t="s">
        <v>85</v>
      </c>
      <c r="D23" s="7">
        <v>20000000</v>
      </c>
      <c r="E23" s="8">
        <v>0.05</v>
      </c>
      <c r="F23" s="9">
        <v>42794</v>
      </c>
      <c r="G23" s="6" t="s">
        <v>91</v>
      </c>
      <c r="H23" s="11">
        <v>0.4</v>
      </c>
      <c r="I23" s="2"/>
      <c r="J23" s="92">
        <f t="shared" si="0"/>
        <v>19000000</v>
      </c>
      <c r="K23" s="92">
        <f t="shared" si="1"/>
        <v>12400000</v>
      </c>
    </row>
    <row r="24" spans="1:11" ht="15">
      <c r="A24" s="10" t="s">
        <v>94</v>
      </c>
      <c r="B24" s="6" t="s">
        <v>107</v>
      </c>
      <c r="C24" s="6" t="s">
        <v>95</v>
      </c>
      <c r="D24" s="7">
        <v>2000000</v>
      </c>
      <c r="E24" s="8">
        <v>0.3</v>
      </c>
      <c r="F24" s="9">
        <v>42794</v>
      </c>
      <c r="G24" s="6" t="s">
        <v>93</v>
      </c>
      <c r="H24" s="11">
        <v>1</v>
      </c>
      <c r="I24" s="2"/>
      <c r="J24" s="92">
        <f t="shared" si="0"/>
        <v>1400000</v>
      </c>
      <c r="K24" s="92">
        <f t="shared" si="1"/>
        <v>600000</v>
      </c>
    </row>
    <row r="25" spans="1:11" ht="15">
      <c r="A25" s="10" t="s">
        <v>75</v>
      </c>
      <c r="B25" s="6" t="s">
        <v>25</v>
      </c>
      <c r="C25" s="6" t="s">
        <v>10</v>
      </c>
      <c r="D25" s="7">
        <v>13000000</v>
      </c>
      <c r="E25" s="8">
        <v>0.2</v>
      </c>
      <c r="F25" s="9">
        <v>42795</v>
      </c>
      <c r="G25" s="6" t="s">
        <v>93</v>
      </c>
      <c r="H25" s="11">
        <v>1</v>
      </c>
      <c r="I25" s="2"/>
      <c r="J25" s="92">
        <f t="shared" si="0"/>
        <v>10400000</v>
      </c>
      <c r="K25" s="92">
        <f t="shared" si="1"/>
        <v>2600000</v>
      </c>
    </row>
    <row r="26" spans="1:11" ht="15">
      <c r="A26" s="10" t="s">
        <v>16</v>
      </c>
      <c r="B26" s="6" t="s">
        <v>65</v>
      </c>
      <c r="C26" s="6" t="s">
        <v>49</v>
      </c>
      <c r="D26" s="7">
        <v>4000000</v>
      </c>
      <c r="E26" s="8">
        <v>0.2</v>
      </c>
      <c r="F26" s="9">
        <v>42808</v>
      </c>
      <c r="G26" s="6" t="s">
        <v>92</v>
      </c>
      <c r="H26" s="11">
        <v>0.6</v>
      </c>
      <c r="I26" s="2"/>
      <c r="J26" s="92">
        <f t="shared" si="0"/>
        <v>3200000</v>
      </c>
      <c r="K26" s="92">
        <f t="shared" si="1"/>
        <v>2080000</v>
      </c>
    </row>
    <row r="27" spans="1:11" ht="15">
      <c r="A27" s="10" t="s">
        <v>17</v>
      </c>
      <c r="B27" s="6" t="s">
        <v>21</v>
      </c>
      <c r="C27" s="6" t="s">
        <v>50</v>
      </c>
      <c r="D27" s="7">
        <v>9500000</v>
      </c>
      <c r="E27" s="8">
        <v>0.15</v>
      </c>
      <c r="F27" s="9">
        <v>42813</v>
      </c>
      <c r="G27" s="6" t="s">
        <v>92</v>
      </c>
      <c r="H27" s="11">
        <v>0.6</v>
      </c>
      <c r="I27" s="2"/>
      <c r="J27" s="92">
        <f t="shared" si="0"/>
        <v>8075000</v>
      </c>
      <c r="K27" s="92">
        <f t="shared" si="1"/>
        <v>4655000</v>
      </c>
    </row>
    <row r="28" spans="1:11" ht="15">
      <c r="A28" s="10" t="s">
        <v>72</v>
      </c>
      <c r="B28" s="6" t="s">
        <v>28</v>
      </c>
      <c r="C28" s="6" t="s">
        <v>8</v>
      </c>
      <c r="D28" s="7">
        <v>2500000</v>
      </c>
      <c r="E28" s="8">
        <v>0.1</v>
      </c>
      <c r="F28" s="9">
        <v>42814</v>
      </c>
      <c r="G28" s="6" t="s">
        <v>90</v>
      </c>
      <c r="H28" s="11">
        <v>0.1</v>
      </c>
      <c r="I28" s="2"/>
      <c r="J28" s="92">
        <f t="shared" si="0"/>
        <v>2250000</v>
      </c>
      <c r="K28" s="92">
        <f t="shared" si="1"/>
        <v>2275000</v>
      </c>
    </row>
    <row r="29" spans="1:11" ht="15">
      <c r="A29" s="10" t="s">
        <v>73</v>
      </c>
      <c r="B29" s="6" t="s">
        <v>108</v>
      </c>
      <c r="C29" s="6" t="s">
        <v>51</v>
      </c>
      <c r="D29" s="7">
        <v>1500000</v>
      </c>
      <c r="E29" s="8">
        <v>0.2</v>
      </c>
      <c r="F29" s="9">
        <v>42822</v>
      </c>
      <c r="G29" s="6" t="s">
        <v>93</v>
      </c>
      <c r="H29" s="11">
        <v>1</v>
      </c>
      <c r="I29" s="2"/>
      <c r="J29" s="92">
        <f t="shared" si="0"/>
        <v>1200000</v>
      </c>
      <c r="K29" s="92">
        <f t="shared" si="1"/>
        <v>300000</v>
      </c>
    </row>
    <row r="30" spans="1:11" ht="15">
      <c r="A30" s="10" t="s">
        <v>73</v>
      </c>
      <c r="B30" s="6" t="s">
        <v>64</v>
      </c>
      <c r="C30" s="6" t="s">
        <v>89</v>
      </c>
      <c r="D30" s="7">
        <v>11200000</v>
      </c>
      <c r="E30" s="8">
        <v>0.25</v>
      </c>
      <c r="F30" s="9">
        <v>42824</v>
      </c>
      <c r="G30" s="6" t="s">
        <v>92</v>
      </c>
      <c r="H30" s="11">
        <v>0.6</v>
      </c>
      <c r="I30" s="2"/>
      <c r="J30" s="92">
        <f t="shared" si="0"/>
        <v>8400000</v>
      </c>
      <c r="K30" s="92">
        <f t="shared" si="1"/>
        <v>6160000</v>
      </c>
    </row>
    <row r="31" spans="1:11" ht="15">
      <c r="A31" s="10" t="s">
        <v>71</v>
      </c>
      <c r="B31" s="6" t="s">
        <v>20</v>
      </c>
      <c r="C31" s="6" t="s">
        <v>52</v>
      </c>
      <c r="D31" s="7">
        <v>800000</v>
      </c>
      <c r="E31" s="8">
        <v>0.1</v>
      </c>
      <c r="F31" s="9">
        <v>42824</v>
      </c>
      <c r="G31" s="6" t="s">
        <v>92</v>
      </c>
      <c r="H31" s="11">
        <v>0.6</v>
      </c>
      <c r="I31" s="2"/>
      <c r="J31" s="92">
        <f t="shared" si="0"/>
        <v>720000</v>
      </c>
      <c r="K31" s="92">
        <f t="shared" si="1"/>
        <v>368000</v>
      </c>
    </row>
    <row r="32" spans="1:11" ht="15">
      <c r="A32" s="10" t="s">
        <v>94</v>
      </c>
      <c r="B32" s="6" t="s">
        <v>107</v>
      </c>
      <c r="C32" s="6" t="s">
        <v>95</v>
      </c>
      <c r="D32" s="7">
        <v>10000000</v>
      </c>
      <c r="E32" s="8">
        <v>0.3</v>
      </c>
      <c r="F32" s="9">
        <v>42825</v>
      </c>
      <c r="G32" s="6" t="s">
        <v>93</v>
      </c>
      <c r="H32" s="11">
        <v>1</v>
      </c>
      <c r="I32" s="2"/>
      <c r="J32" s="92">
        <f t="shared" si="0"/>
        <v>7000000</v>
      </c>
      <c r="K32" s="92">
        <f t="shared" si="1"/>
        <v>3000000</v>
      </c>
    </row>
    <row r="33" spans="1:11" ht="15">
      <c r="A33" s="10" t="s">
        <v>74</v>
      </c>
      <c r="B33" s="6" t="s">
        <v>33</v>
      </c>
      <c r="C33" s="6" t="s">
        <v>36</v>
      </c>
      <c r="D33" s="7">
        <v>1200000</v>
      </c>
      <c r="E33" s="8">
        <v>0.25</v>
      </c>
      <c r="F33" s="9">
        <v>42835</v>
      </c>
      <c r="G33" s="6" t="s">
        <v>92</v>
      </c>
      <c r="H33" s="11">
        <v>0.6</v>
      </c>
      <c r="I33" s="2"/>
      <c r="J33" s="92">
        <f t="shared" si="0"/>
        <v>900000</v>
      </c>
      <c r="K33" s="92">
        <f t="shared" si="1"/>
        <v>660000</v>
      </c>
    </row>
    <row r="34" spans="1:11" ht="15">
      <c r="A34" s="10" t="s">
        <v>73</v>
      </c>
      <c r="B34" s="6" t="s">
        <v>63</v>
      </c>
      <c r="C34" s="6" t="s">
        <v>83</v>
      </c>
      <c r="D34" s="7">
        <v>3000000</v>
      </c>
      <c r="E34" s="8">
        <v>0.3</v>
      </c>
      <c r="F34" s="9">
        <v>42839</v>
      </c>
      <c r="G34" s="6" t="s">
        <v>90</v>
      </c>
      <c r="H34" s="11">
        <v>0.1</v>
      </c>
      <c r="I34" s="2"/>
      <c r="J34" s="92">
        <f t="shared" si="0"/>
        <v>2100000</v>
      </c>
      <c r="K34" s="92">
        <f t="shared" si="1"/>
        <v>2790000</v>
      </c>
    </row>
    <row r="35" spans="1:11" ht="15">
      <c r="A35" s="10" t="s">
        <v>74</v>
      </c>
      <c r="B35" s="6" t="s">
        <v>21</v>
      </c>
      <c r="C35" s="6" t="s">
        <v>53</v>
      </c>
      <c r="D35" s="7">
        <v>500000</v>
      </c>
      <c r="E35" s="8">
        <v>0.2</v>
      </c>
      <c r="F35" s="9">
        <v>42841</v>
      </c>
      <c r="G35" s="6" t="s">
        <v>91</v>
      </c>
      <c r="H35" s="11">
        <v>0.4</v>
      </c>
      <c r="I35" s="2"/>
      <c r="J35" s="92">
        <f t="shared" si="0"/>
        <v>400000</v>
      </c>
      <c r="K35" s="92">
        <f t="shared" si="1"/>
        <v>340000</v>
      </c>
    </row>
    <row r="36" spans="1:11" ht="15">
      <c r="A36" s="10" t="s">
        <v>74</v>
      </c>
      <c r="B36" s="6" t="s">
        <v>58</v>
      </c>
      <c r="C36" s="6" t="s">
        <v>55</v>
      </c>
      <c r="D36" s="7">
        <v>1000000</v>
      </c>
      <c r="E36" s="8">
        <v>0.2</v>
      </c>
      <c r="F36" s="9">
        <v>42841</v>
      </c>
      <c r="G36" s="6" t="s">
        <v>91</v>
      </c>
      <c r="H36" s="11">
        <v>0.4</v>
      </c>
      <c r="I36" s="2"/>
      <c r="J36" s="92">
        <f t="shared" si="0"/>
        <v>800000</v>
      </c>
      <c r="K36" s="92">
        <f t="shared" si="1"/>
        <v>680000</v>
      </c>
    </row>
    <row r="37" spans="1:11" ht="15">
      <c r="A37" s="10" t="s">
        <v>17</v>
      </c>
      <c r="B37" s="6" t="s">
        <v>28</v>
      </c>
      <c r="C37" s="6" t="s">
        <v>13</v>
      </c>
      <c r="D37" s="7">
        <v>5000000</v>
      </c>
      <c r="E37" s="8">
        <v>0.1</v>
      </c>
      <c r="F37" s="9">
        <v>42845</v>
      </c>
      <c r="G37" s="6" t="s">
        <v>90</v>
      </c>
      <c r="H37" s="11">
        <v>0.1</v>
      </c>
      <c r="I37" s="2"/>
      <c r="J37" s="92">
        <f t="shared" si="0"/>
        <v>4500000</v>
      </c>
      <c r="K37" s="92">
        <f t="shared" si="1"/>
        <v>4550000</v>
      </c>
    </row>
    <row r="38" spans="1:11" ht="15">
      <c r="A38" s="10" t="s">
        <v>16</v>
      </c>
      <c r="B38" s="6" t="s">
        <v>22</v>
      </c>
      <c r="C38" s="6" t="s">
        <v>84</v>
      </c>
      <c r="D38" s="7">
        <v>500000</v>
      </c>
      <c r="E38" s="8">
        <v>0.3</v>
      </c>
      <c r="F38" s="9">
        <v>42845</v>
      </c>
      <c r="G38" s="6" t="s">
        <v>90</v>
      </c>
      <c r="H38" s="11">
        <v>0.1</v>
      </c>
      <c r="I38" s="2"/>
      <c r="J38" s="92">
        <f t="shared" si="0"/>
        <v>350000</v>
      </c>
      <c r="K38" s="92">
        <f t="shared" si="1"/>
        <v>465000</v>
      </c>
    </row>
    <row r="39" spans="1:11" ht="15">
      <c r="A39" s="10" t="s">
        <v>72</v>
      </c>
      <c r="B39" s="6" t="s">
        <v>24</v>
      </c>
      <c r="C39" s="6" t="s">
        <v>46</v>
      </c>
      <c r="D39" s="7">
        <v>13000000</v>
      </c>
      <c r="E39" s="8">
        <v>0.15</v>
      </c>
      <c r="F39" s="9">
        <v>42850</v>
      </c>
      <c r="G39" s="6" t="s">
        <v>91</v>
      </c>
      <c r="H39" s="11">
        <v>0.4</v>
      </c>
      <c r="I39" s="2"/>
      <c r="J39" s="92">
        <f t="shared" si="0"/>
        <v>11050000</v>
      </c>
      <c r="K39" s="92">
        <f t="shared" si="1"/>
        <v>8580000</v>
      </c>
    </row>
    <row r="40" spans="1:11" ht="15">
      <c r="A40" s="10" t="s">
        <v>73</v>
      </c>
      <c r="B40" s="6" t="s">
        <v>19</v>
      </c>
      <c r="C40" s="6" t="s">
        <v>51</v>
      </c>
      <c r="D40" s="7">
        <v>2500000</v>
      </c>
      <c r="E40" s="8">
        <v>0.2</v>
      </c>
      <c r="F40" s="9">
        <v>42853</v>
      </c>
      <c r="G40" s="6" t="s">
        <v>91</v>
      </c>
      <c r="H40" s="11">
        <v>0.4</v>
      </c>
      <c r="I40" s="2"/>
      <c r="J40" s="92">
        <f t="shared" si="0"/>
        <v>2000000</v>
      </c>
      <c r="K40" s="92">
        <f t="shared" si="1"/>
        <v>1700000</v>
      </c>
    </row>
    <row r="41" spans="1:11" ht="15">
      <c r="A41" s="10" t="s">
        <v>71</v>
      </c>
      <c r="B41" s="6" t="s">
        <v>20</v>
      </c>
      <c r="C41" s="6" t="s">
        <v>52</v>
      </c>
      <c r="D41" s="7">
        <v>800000</v>
      </c>
      <c r="E41" s="8">
        <v>0.1</v>
      </c>
      <c r="F41" s="9">
        <v>42855</v>
      </c>
      <c r="G41" s="6" t="s">
        <v>92</v>
      </c>
      <c r="H41" s="11">
        <v>0.6</v>
      </c>
      <c r="I41" s="2"/>
      <c r="J41" s="92">
        <f t="shared" si="0"/>
        <v>720000</v>
      </c>
      <c r="K41" s="92">
        <f t="shared" si="1"/>
        <v>368000</v>
      </c>
    </row>
    <row r="42" spans="1:11" ht="15">
      <c r="A42" s="10" t="s">
        <v>72</v>
      </c>
      <c r="B42" s="6" t="s">
        <v>27</v>
      </c>
      <c r="C42" s="6" t="s">
        <v>7</v>
      </c>
      <c r="D42" s="7">
        <v>2400000</v>
      </c>
      <c r="E42" s="8">
        <v>0.1</v>
      </c>
      <c r="F42" s="9">
        <v>42855</v>
      </c>
      <c r="G42" s="6" t="s">
        <v>92</v>
      </c>
      <c r="H42" s="11">
        <v>0.6</v>
      </c>
      <c r="I42" s="2"/>
      <c r="J42" s="92">
        <f t="shared" si="0"/>
        <v>2160000</v>
      </c>
      <c r="K42" s="92">
        <f t="shared" si="1"/>
        <v>1104000</v>
      </c>
    </row>
    <row r="43" spans="1:11" ht="15">
      <c r="A43" s="10" t="s">
        <v>94</v>
      </c>
      <c r="B43" s="6" t="s">
        <v>107</v>
      </c>
      <c r="C43" s="6" t="s">
        <v>95</v>
      </c>
      <c r="D43" s="7">
        <v>10000000</v>
      </c>
      <c r="E43" s="8">
        <v>0.3</v>
      </c>
      <c r="F43" s="9">
        <v>42855</v>
      </c>
      <c r="G43" s="6" t="s">
        <v>93</v>
      </c>
      <c r="H43" s="11">
        <v>1</v>
      </c>
      <c r="I43" s="2"/>
      <c r="J43" s="92">
        <f t="shared" si="0"/>
        <v>7000000</v>
      </c>
      <c r="K43" s="92">
        <f t="shared" si="1"/>
        <v>3000000</v>
      </c>
    </row>
    <row r="44" spans="1:11" ht="15">
      <c r="A44" s="10" t="s">
        <v>74</v>
      </c>
      <c r="B44" s="6" t="s">
        <v>34</v>
      </c>
      <c r="C44" s="6" t="s">
        <v>12</v>
      </c>
      <c r="D44" s="7">
        <v>7000000</v>
      </c>
      <c r="E44" s="8">
        <v>0.5</v>
      </c>
      <c r="F44" s="9">
        <v>42869</v>
      </c>
      <c r="G44" s="6" t="s">
        <v>92</v>
      </c>
      <c r="H44" s="11">
        <v>0.6</v>
      </c>
      <c r="I44" s="2"/>
      <c r="J44" s="92">
        <f t="shared" si="0"/>
        <v>3500000</v>
      </c>
      <c r="K44" s="92">
        <f t="shared" si="1"/>
        <v>4900000</v>
      </c>
    </row>
    <row r="45" spans="1:11" ht="15">
      <c r="A45" s="10" t="s">
        <v>74</v>
      </c>
      <c r="B45" s="6" t="s">
        <v>35</v>
      </c>
      <c r="C45" s="6" t="s">
        <v>54</v>
      </c>
      <c r="D45" s="7">
        <v>3000000</v>
      </c>
      <c r="E45" s="8">
        <v>0.3</v>
      </c>
      <c r="F45" s="9">
        <v>42870</v>
      </c>
      <c r="G45" s="6" t="s">
        <v>91</v>
      </c>
      <c r="H45" s="11">
        <v>0.4</v>
      </c>
      <c r="I45" s="2"/>
      <c r="J45" s="92">
        <f t="shared" si="0"/>
        <v>2100000</v>
      </c>
      <c r="K45" s="92">
        <f t="shared" si="1"/>
        <v>2160000</v>
      </c>
    </row>
    <row r="46" spans="1:11" ht="15">
      <c r="A46" s="10" t="s">
        <v>71</v>
      </c>
      <c r="B46" s="6" t="s">
        <v>62</v>
      </c>
      <c r="C46" s="6" t="s">
        <v>88</v>
      </c>
      <c r="D46" s="7">
        <v>4500000</v>
      </c>
      <c r="E46" s="8">
        <v>0.3</v>
      </c>
      <c r="F46" s="9">
        <v>42875</v>
      </c>
      <c r="G46" s="6" t="s">
        <v>91</v>
      </c>
      <c r="H46" s="11">
        <v>0.4</v>
      </c>
      <c r="I46" s="2"/>
      <c r="J46" s="92">
        <f t="shared" si="0"/>
        <v>3150000</v>
      </c>
      <c r="K46" s="92">
        <f t="shared" si="1"/>
        <v>3240000</v>
      </c>
    </row>
    <row r="47" spans="1:11" ht="15">
      <c r="A47" s="10" t="s">
        <v>74</v>
      </c>
      <c r="B47" s="6" t="s">
        <v>29</v>
      </c>
      <c r="C47" s="6" t="s">
        <v>14</v>
      </c>
      <c r="D47" s="7">
        <v>3000000</v>
      </c>
      <c r="E47" s="8">
        <v>0.3</v>
      </c>
      <c r="F47" s="9">
        <v>42877</v>
      </c>
      <c r="G47" s="6" t="s">
        <v>90</v>
      </c>
      <c r="H47" s="11">
        <v>0.1</v>
      </c>
      <c r="I47" s="2"/>
      <c r="J47" s="92">
        <f t="shared" si="0"/>
        <v>2100000</v>
      </c>
      <c r="K47" s="92">
        <f t="shared" si="1"/>
        <v>2790000</v>
      </c>
    </row>
    <row r="48" spans="1:11" ht="15">
      <c r="A48" s="10" t="s">
        <v>73</v>
      </c>
      <c r="B48" s="6" t="s">
        <v>61</v>
      </c>
      <c r="C48" s="6" t="s">
        <v>86</v>
      </c>
      <c r="D48" s="7">
        <v>8000000</v>
      </c>
      <c r="E48" s="8">
        <v>0.25</v>
      </c>
      <c r="F48" s="9">
        <v>42882</v>
      </c>
      <c r="G48" s="6" t="s">
        <v>91</v>
      </c>
      <c r="H48" s="11">
        <v>0.4</v>
      </c>
      <c r="I48" s="2"/>
      <c r="J48" s="92">
        <f t="shared" si="0"/>
        <v>6000000</v>
      </c>
      <c r="K48" s="92">
        <f t="shared" si="1"/>
        <v>5600000</v>
      </c>
    </row>
    <row r="49" spans="1:11" ht="15">
      <c r="A49" s="10" t="s">
        <v>72</v>
      </c>
      <c r="B49" s="6" t="s">
        <v>26</v>
      </c>
      <c r="C49" s="6" t="s">
        <v>47</v>
      </c>
      <c r="D49" s="7">
        <v>7000000</v>
      </c>
      <c r="E49" s="8">
        <v>0.2</v>
      </c>
      <c r="F49" s="9">
        <v>42883</v>
      </c>
      <c r="G49" s="6" t="s">
        <v>90</v>
      </c>
      <c r="H49" s="11">
        <v>0.1</v>
      </c>
      <c r="I49" s="2"/>
      <c r="J49" s="92">
        <f t="shared" si="0"/>
        <v>5600000</v>
      </c>
      <c r="K49" s="92">
        <f t="shared" si="1"/>
        <v>6440000</v>
      </c>
    </row>
    <row r="50" spans="1:11" ht="15">
      <c r="A50" s="10" t="s">
        <v>72</v>
      </c>
      <c r="B50" s="6" t="s">
        <v>60</v>
      </c>
      <c r="C50" s="6" t="s">
        <v>85</v>
      </c>
      <c r="D50" s="7">
        <v>20000000</v>
      </c>
      <c r="E50" s="8">
        <v>0.05</v>
      </c>
      <c r="F50" s="9">
        <v>42883</v>
      </c>
      <c r="G50" s="6" t="s">
        <v>90</v>
      </c>
      <c r="H50" s="11">
        <v>0.1</v>
      </c>
      <c r="I50" s="2"/>
      <c r="J50" s="92">
        <f t="shared" si="0"/>
        <v>19000000</v>
      </c>
      <c r="K50" s="92">
        <f t="shared" si="1"/>
        <v>18100000</v>
      </c>
    </row>
    <row r="51" spans="1:11" ht="15">
      <c r="A51" s="10" t="s">
        <v>94</v>
      </c>
      <c r="B51" s="6" t="s">
        <v>107</v>
      </c>
      <c r="C51" s="6" t="s">
        <v>95</v>
      </c>
      <c r="D51" s="7">
        <v>25000000</v>
      </c>
      <c r="E51" s="8">
        <v>0.3</v>
      </c>
      <c r="F51" s="9">
        <v>42886</v>
      </c>
      <c r="G51" s="6" t="s">
        <v>93</v>
      </c>
      <c r="H51" s="11">
        <v>1</v>
      </c>
      <c r="I51" s="2"/>
      <c r="J51" s="92">
        <f t="shared" si="0"/>
        <v>17500000</v>
      </c>
      <c r="K51" s="92">
        <f t="shared" si="1"/>
        <v>7500000</v>
      </c>
    </row>
    <row r="52" spans="1:11" ht="15">
      <c r="A52" s="10" t="s">
        <v>73</v>
      </c>
      <c r="B52" s="6" t="s">
        <v>31</v>
      </c>
      <c r="C52" s="6" t="s">
        <v>6</v>
      </c>
      <c r="D52" s="7">
        <v>5000000</v>
      </c>
      <c r="E52" s="8">
        <v>0.3</v>
      </c>
      <c r="F52" s="9">
        <v>42894</v>
      </c>
      <c r="G52" s="6" t="s">
        <v>90</v>
      </c>
      <c r="H52" s="11">
        <v>0.1</v>
      </c>
      <c r="I52" s="2"/>
      <c r="J52" s="92">
        <f t="shared" si="0"/>
        <v>3500000</v>
      </c>
      <c r="K52" s="92">
        <f t="shared" si="1"/>
        <v>4650000</v>
      </c>
    </row>
    <row r="53" spans="1:11" ht="15">
      <c r="A53" s="10" t="s">
        <v>73</v>
      </c>
      <c r="B53" s="6" t="s">
        <v>32</v>
      </c>
      <c r="C53" s="6" t="s">
        <v>9</v>
      </c>
      <c r="D53" s="7">
        <v>1500000</v>
      </c>
      <c r="E53" s="8">
        <v>0.5</v>
      </c>
      <c r="F53" s="9">
        <v>42894</v>
      </c>
      <c r="G53" s="6" t="s">
        <v>90</v>
      </c>
      <c r="H53" s="11">
        <v>0.1</v>
      </c>
      <c r="I53" s="2"/>
      <c r="J53" s="92">
        <f t="shared" si="0"/>
        <v>750000</v>
      </c>
      <c r="K53" s="92">
        <f t="shared" si="1"/>
        <v>1425000</v>
      </c>
    </row>
    <row r="54" spans="1:11" ht="15">
      <c r="A54" s="10" t="s">
        <v>73</v>
      </c>
      <c r="B54" s="6" t="s">
        <v>59</v>
      </c>
      <c r="C54" s="6" t="s">
        <v>37</v>
      </c>
      <c r="D54" s="7">
        <v>9500000</v>
      </c>
      <c r="E54" s="8">
        <v>0.3</v>
      </c>
      <c r="F54" s="9">
        <v>42901</v>
      </c>
      <c r="G54" s="6" t="s">
        <v>91</v>
      </c>
      <c r="H54" s="11">
        <v>0.4</v>
      </c>
      <c r="I54" s="2"/>
      <c r="J54" s="92">
        <f t="shared" si="0"/>
        <v>6650000</v>
      </c>
      <c r="K54" s="92">
        <f t="shared" si="1"/>
        <v>6840000</v>
      </c>
    </row>
    <row r="55" spans="1:11" ht="15">
      <c r="A55" s="10" t="s">
        <v>17</v>
      </c>
      <c r="B55" s="6" t="s">
        <v>23</v>
      </c>
      <c r="C55" s="6" t="s">
        <v>87</v>
      </c>
      <c r="D55" s="7">
        <v>8000000</v>
      </c>
      <c r="E55" s="8">
        <v>0.1</v>
      </c>
      <c r="F55" s="9">
        <v>42916</v>
      </c>
      <c r="G55" s="6" t="s">
        <v>91</v>
      </c>
      <c r="H55" s="11">
        <v>0.4</v>
      </c>
      <c r="I55" s="2"/>
      <c r="J55" s="92">
        <f t="shared" si="0"/>
        <v>7200000</v>
      </c>
      <c r="K55" s="92">
        <f t="shared" si="1"/>
        <v>5120000</v>
      </c>
    </row>
    <row r="56" spans="1:11" ht="15">
      <c r="A56" s="10" t="s">
        <v>17</v>
      </c>
      <c r="B56" s="6" t="s">
        <v>56</v>
      </c>
      <c r="C56" s="6" t="s">
        <v>15</v>
      </c>
      <c r="D56" s="7">
        <v>11000000</v>
      </c>
      <c r="E56" s="8">
        <v>0.2</v>
      </c>
      <c r="F56" s="9">
        <v>42916</v>
      </c>
      <c r="G56" s="6" t="s">
        <v>90</v>
      </c>
      <c r="H56" s="11">
        <v>0.1</v>
      </c>
      <c r="I56" s="2"/>
      <c r="J56" s="92">
        <f t="shared" si="0"/>
        <v>8800000</v>
      </c>
      <c r="K56" s="92">
        <f t="shared" si="1"/>
        <v>10120000</v>
      </c>
    </row>
    <row r="57" spans="1:11" ht="15">
      <c r="A57" s="10" t="s">
        <v>17</v>
      </c>
      <c r="B57" s="6" t="s">
        <v>57</v>
      </c>
      <c r="C57" s="6" t="s">
        <v>11</v>
      </c>
      <c r="D57" s="7">
        <v>2000000</v>
      </c>
      <c r="E57" s="8">
        <v>0.3</v>
      </c>
      <c r="F57" s="9">
        <v>42916</v>
      </c>
      <c r="G57" s="6" t="s">
        <v>90</v>
      </c>
      <c r="H57" s="11">
        <v>0.1</v>
      </c>
      <c r="I57" s="2"/>
      <c r="J57" s="92">
        <f t="shared" si="0"/>
        <v>1400000</v>
      </c>
      <c r="K57" s="92">
        <f t="shared" si="1"/>
        <v>1860000</v>
      </c>
    </row>
    <row r="58" spans="1:11" ht="15">
      <c r="A58" s="10" t="s">
        <v>94</v>
      </c>
      <c r="B58" s="6" t="s">
        <v>107</v>
      </c>
      <c r="C58" s="6" t="s">
        <v>95</v>
      </c>
      <c r="D58" s="7">
        <v>30000000</v>
      </c>
      <c r="E58" s="8">
        <v>0.3</v>
      </c>
      <c r="F58" s="9">
        <v>42916</v>
      </c>
      <c r="G58" s="6" t="s">
        <v>93</v>
      </c>
      <c r="H58" s="11">
        <v>1</v>
      </c>
      <c r="I58" s="2"/>
      <c r="J58" s="92">
        <f t="shared" si="0"/>
        <v>21000000</v>
      </c>
      <c r="K58" s="92">
        <f t="shared" si="1"/>
        <v>9000000</v>
      </c>
    </row>
    <row r="59" spans="1:11" ht="15">
      <c r="A59" s="10" t="s">
        <v>74</v>
      </c>
      <c r="B59" s="6" t="s">
        <v>61</v>
      </c>
      <c r="C59" s="6" t="s">
        <v>6</v>
      </c>
      <c r="D59" s="7">
        <v>5500000</v>
      </c>
      <c r="E59" s="8">
        <v>0.3</v>
      </c>
      <c r="F59" s="9">
        <v>42924</v>
      </c>
      <c r="G59" s="6" t="s">
        <v>90</v>
      </c>
      <c r="H59" s="11">
        <v>0.1</v>
      </c>
      <c r="I59" s="2"/>
      <c r="J59" s="92">
        <f t="shared" si="0"/>
        <v>3849999.9999999995</v>
      </c>
      <c r="K59" s="92">
        <f t="shared" si="1"/>
        <v>5115000</v>
      </c>
    </row>
    <row r="60" spans="1:11" ht="15">
      <c r="A60" s="10" t="s">
        <v>73</v>
      </c>
      <c r="B60" s="6" t="s">
        <v>26</v>
      </c>
      <c r="C60" s="6" t="s">
        <v>9</v>
      </c>
      <c r="D60" s="7">
        <v>10000000</v>
      </c>
      <c r="E60" s="8">
        <v>0.5</v>
      </c>
      <c r="F60" s="9">
        <v>42926</v>
      </c>
      <c r="G60" s="6" t="s">
        <v>90</v>
      </c>
      <c r="H60" s="11">
        <v>0.1</v>
      </c>
      <c r="I60" s="2"/>
      <c r="J60" s="92">
        <f t="shared" si="0"/>
        <v>5000000</v>
      </c>
      <c r="K60" s="92">
        <f t="shared" si="1"/>
        <v>9500000</v>
      </c>
    </row>
    <row r="61" spans="1:11" ht="15">
      <c r="A61" s="10" t="s">
        <v>72</v>
      </c>
      <c r="B61" s="6" t="s">
        <v>27</v>
      </c>
      <c r="C61" s="6" t="s">
        <v>7</v>
      </c>
      <c r="D61" s="7">
        <v>2400000</v>
      </c>
      <c r="E61" s="8">
        <v>0.1</v>
      </c>
      <c r="F61" s="9">
        <v>42931</v>
      </c>
      <c r="G61" s="6" t="s">
        <v>91</v>
      </c>
      <c r="H61" s="11">
        <v>0.4</v>
      </c>
      <c r="I61" s="2"/>
      <c r="J61" s="92">
        <f t="shared" si="0"/>
        <v>2160000</v>
      </c>
      <c r="K61" s="92">
        <f t="shared" si="1"/>
        <v>1536000</v>
      </c>
    </row>
    <row r="62" spans="1:11" ht="15">
      <c r="A62" s="10" t="s">
        <v>94</v>
      </c>
      <c r="B62" s="6" t="s">
        <v>107</v>
      </c>
      <c r="C62" s="6" t="s">
        <v>95</v>
      </c>
      <c r="D62" s="7">
        <v>40000000</v>
      </c>
      <c r="E62" s="8">
        <v>0.3</v>
      </c>
      <c r="F62" s="9">
        <v>42947</v>
      </c>
      <c r="G62" s="6" t="s">
        <v>93</v>
      </c>
      <c r="H62" s="11">
        <v>1</v>
      </c>
      <c r="I62" s="2"/>
      <c r="J62" s="92">
        <f t="shared" si="0"/>
        <v>28000000</v>
      </c>
      <c r="K62" s="92">
        <f t="shared" si="1"/>
        <v>12000000</v>
      </c>
    </row>
    <row r="63" spans="1:11" ht="15">
      <c r="A63" s="10" t="s">
        <v>73</v>
      </c>
      <c r="B63" s="6" t="s">
        <v>109</v>
      </c>
      <c r="C63" s="6" t="s">
        <v>83</v>
      </c>
      <c r="D63" s="7">
        <v>2800000</v>
      </c>
      <c r="E63" s="8">
        <v>0.3</v>
      </c>
      <c r="F63" s="9">
        <v>42961</v>
      </c>
      <c r="G63" s="6" t="s">
        <v>90</v>
      </c>
      <c r="H63" s="11">
        <v>0.1</v>
      </c>
      <c r="I63" s="2"/>
      <c r="J63" s="92">
        <f t="shared" si="0"/>
        <v>1959999.9999999998</v>
      </c>
      <c r="K63" s="92">
        <f t="shared" si="1"/>
        <v>2604000</v>
      </c>
    </row>
    <row r="64" spans="1:11" ht="15">
      <c r="A64" s="10" t="s">
        <v>94</v>
      </c>
      <c r="B64" s="6" t="s">
        <v>107</v>
      </c>
      <c r="C64" s="6" t="s">
        <v>95</v>
      </c>
      <c r="D64" s="7">
        <v>30000000</v>
      </c>
      <c r="E64" s="8">
        <v>0.3</v>
      </c>
      <c r="F64" s="9">
        <v>42978</v>
      </c>
      <c r="G64" s="6" t="s">
        <v>93</v>
      </c>
      <c r="H64" s="11">
        <v>1</v>
      </c>
      <c r="I64" s="2"/>
      <c r="J64" s="92">
        <f t="shared" si="0"/>
        <v>21000000</v>
      </c>
      <c r="K64" s="92">
        <f t="shared" si="1"/>
        <v>9000000</v>
      </c>
    </row>
    <row r="65" spans="1:11" ht="15">
      <c r="A65" s="10" t="s">
        <v>94</v>
      </c>
      <c r="B65" s="6" t="s">
        <v>107</v>
      </c>
      <c r="C65" s="6" t="s">
        <v>95</v>
      </c>
      <c r="D65" s="7">
        <v>30000000</v>
      </c>
      <c r="E65" s="8">
        <v>0.3</v>
      </c>
      <c r="F65" s="9">
        <v>43008</v>
      </c>
      <c r="G65" s="6" t="s">
        <v>93</v>
      </c>
      <c r="H65" s="11">
        <v>1</v>
      </c>
      <c r="I65" s="2"/>
      <c r="J65" s="92">
        <f t="shared" si="0"/>
        <v>21000000</v>
      </c>
      <c r="K65" s="92">
        <f t="shared" si="1"/>
        <v>9000000</v>
      </c>
    </row>
    <row r="66" spans="1:11" ht="15">
      <c r="A66" s="10" t="s">
        <v>94</v>
      </c>
      <c r="B66" s="6" t="s">
        <v>107</v>
      </c>
      <c r="C66" s="6" t="s">
        <v>95</v>
      </c>
      <c r="D66" s="7">
        <v>35000000</v>
      </c>
      <c r="E66" s="8">
        <v>0.3</v>
      </c>
      <c r="F66" s="9">
        <v>43039</v>
      </c>
      <c r="G66" s="6" t="s">
        <v>93</v>
      </c>
      <c r="H66" s="11">
        <v>1</v>
      </c>
      <c r="I66" s="2"/>
      <c r="J66" s="92">
        <f t="shared" si="0"/>
        <v>24500000</v>
      </c>
      <c r="K66" s="92">
        <f t="shared" si="1"/>
        <v>10500000</v>
      </c>
    </row>
    <row r="67" spans="1:11" ht="15">
      <c r="A67" s="10" t="s">
        <v>94</v>
      </c>
      <c r="B67" s="6" t="s">
        <v>107</v>
      </c>
      <c r="C67" s="6" t="s">
        <v>95</v>
      </c>
      <c r="D67" s="7">
        <v>35000000</v>
      </c>
      <c r="E67" s="8">
        <v>0.3</v>
      </c>
      <c r="F67" s="9">
        <v>43069</v>
      </c>
      <c r="G67" s="6" t="s">
        <v>93</v>
      </c>
      <c r="H67" s="11">
        <v>1</v>
      </c>
      <c r="I67" s="2"/>
      <c r="J67" s="92">
        <f t="shared" si="0"/>
        <v>24500000</v>
      </c>
      <c r="K67" s="92">
        <f t="shared" si="1"/>
        <v>10500000</v>
      </c>
    </row>
    <row r="68" spans="1:11" ht="13.5" thickBot="1">
      <c r="A68" s="12" t="s">
        <v>94</v>
      </c>
      <c r="B68" s="13" t="s">
        <v>107</v>
      </c>
      <c r="C68" s="13" t="s">
        <v>95</v>
      </c>
      <c r="D68" s="14">
        <v>35000000</v>
      </c>
      <c r="E68" s="15">
        <v>0.3</v>
      </c>
      <c r="F68" s="16">
        <v>43100</v>
      </c>
      <c r="G68" s="13" t="s">
        <v>93</v>
      </c>
      <c r="H68" s="17">
        <v>1</v>
      </c>
      <c r="I68" s="2"/>
      <c r="J68" s="92">
        <f t="shared" si="0"/>
        <v>24500000</v>
      </c>
      <c r="K68" s="92">
        <f t="shared" si="1"/>
        <v>10500000</v>
      </c>
    </row>
    <row r="69" spans="4:11" ht="15">
      <c r="D69" s="92">
        <f>SUM(D6:D68)</f>
        <v>597300000</v>
      </c>
      <c r="J69" s="92">
        <f aca="true" t="shared" si="2" ref="J69:K69">SUM(J6:J68)</f>
        <v>439025000</v>
      </c>
      <c r="K69" s="92">
        <f t="shared" si="2"/>
        <v>306382000</v>
      </c>
    </row>
    <row r="70" spans="4:11" ht="15">
      <c r="D70" s="92">
        <f>SUBTOTAL(9,D6:D32)</f>
        <v>187200000</v>
      </c>
      <c r="E70" s="92"/>
      <c r="F70" s="92"/>
      <c r="G70" s="92"/>
      <c r="H70" s="93"/>
      <c r="I70" s="94"/>
      <c r="J70" s="92">
        <f aca="true" t="shared" si="3" ref="J70:K70">SUBTOTAL(9,J6:J32)</f>
        <v>142325000</v>
      </c>
      <c r="K70" s="92">
        <f t="shared" si="3"/>
        <v>112145000</v>
      </c>
    </row>
    <row r="71" spans="3:11" ht="15">
      <c r="C71" s="1">
        <v>1</v>
      </c>
      <c r="D71" s="92">
        <v>187200000</v>
      </c>
      <c r="E71" s="92"/>
      <c r="F71" s="92"/>
      <c r="G71" s="92"/>
      <c r="H71" s="93"/>
      <c r="I71" s="94"/>
      <c r="J71" s="92">
        <v>142325000</v>
      </c>
      <c r="K71" s="92">
        <v>112145000</v>
      </c>
    </row>
    <row r="72" spans="3:11" ht="15">
      <c r="C72" s="1">
        <v>2</v>
      </c>
      <c r="D72" s="92">
        <v>184400000</v>
      </c>
      <c r="E72" s="92"/>
      <c r="F72" s="92"/>
      <c r="G72" s="92"/>
      <c r="H72" s="93"/>
      <c r="I72" s="94"/>
      <c r="J72" s="92">
        <v>140230000</v>
      </c>
      <c r="K72" s="92">
        <v>113982000</v>
      </c>
    </row>
    <row r="73" spans="3:11" ht="15">
      <c r="C73" s="1">
        <v>3</v>
      </c>
      <c r="D73" s="92">
        <v>120700000</v>
      </c>
      <c r="E73" s="92"/>
      <c r="F73" s="92"/>
      <c r="G73" s="92"/>
      <c r="H73" s="93"/>
      <c r="I73" s="94"/>
      <c r="J73" s="92">
        <v>82970000</v>
      </c>
      <c r="K73" s="92">
        <v>48755000</v>
      </c>
    </row>
    <row r="74" spans="3:11" ht="15">
      <c r="C74" s="1">
        <v>4</v>
      </c>
      <c r="D74" s="92">
        <v>105000000</v>
      </c>
      <c r="E74" s="92"/>
      <c r="F74" s="92"/>
      <c r="G74" s="92"/>
      <c r="H74" s="93"/>
      <c r="I74" s="94"/>
      <c r="J74" s="92">
        <v>73500000</v>
      </c>
      <c r="K74" s="92">
        <v>31500000</v>
      </c>
    </row>
    <row r="75" spans="4:9" ht="15">
      <c r="D75" s="92"/>
      <c r="E75" s="92"/>
      <c r="F75" s="92"/>
      <c r="G75" s="92"/>
      <c r="H75" s="93"/>
      <c r="I75" s="94"/>
    </row>
    <row r="76" spans="4:11" ht="15">
      <c r="D76" s="92">
        <f>SUM(D71:D75)</f>
        <v>597300000</v>
      </c>
      <c r="E76" s="92"/>
      <c r="F76" s="92"/>
      <c r="G76" s="92"/>
      <c r="H76" s="93"/>
      <c r="I76" s="94"/>
      <c r="J76" s="92">
        <f aca="true" t="shared" si="4" ref="J76:K76">SUM(J71:J75)</f>
        <v>439025000</v>
      </c>
      <c r="K76" s="92">
        <f t="shared" si="4"/>
        <v>306382000</v>
      </c>
    </row>
    <row r="77" spans="4:11" ht="15">
      <c r="D77" s="92">
        <f>D69-D76</f>
        <v>0</v>
      </c>
      <c r="E77" s="92"/>
      <c r="F77" s="92"/>
      <c r="G77" s="92"/>
      <c r="H77" s="93"/>
      <c r="I77" s="94"/>
      <c r="J77" s="92">
        <f aca="true" t="shared" si="5" ref="J77:K77">J69-J76</f>
        <v>0</v>
      </c>
      <c r="K77" s="92">
        <f t="shared" si="5"/>
        <v>0</v>
      </c>
    </row>
    <row r="79" spans="4:9" ht="15">
      <c r="D79" s="95"/>
      <c r="E79" s="95"/>
      <c r="F79" s="95"/>
      <c r="G79" s="95"/>
      <c r="H79" s="96"/>
      <c r="I79" s="97"/>
    </row>
    <row r="81" spans="4:9" ht="15">
      <c r="D81" s="92"/>
      <c r="E81" s="92"/>
      <c r="F81" s="92"/>
      <c r="G81" s="92"/>
      <c r="H81" s="93"/>
      <c r="I81" s="94"/>
    </row>
    <row r="82" ht="15">
      <c r="D82" s="92"/>
    </row>
  </sheetData>
  <autoFilter ref="A5:K7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6"/>
  <sheetViews>
    <sheetView showGridLines="0" workbookViewId="0" topLeftCell="A3">
      <selection activeCell="W26" sqref="W26:Z26"/>
    </sheetView>
  </sheetViews>
  <sheetFormatPr defaultColWidth="8.8515625" defaultRowHeight="15"/>
  <cols>
    <col min="1" max="1" width="16.140625" style="35" customWidth="1"/>
    <col min="2" max="2" width="13.421875" style="35" customWidth="1"/>
    <col min="3" max="4" width="13.140625" style="35" customWidth="1"/>
    <col min="5" max="6" width="20.8515625" style="35" customWidth="1"/>
    <col min="7" max="7" width="10.140625" style="35" bestFit="1" customWidth="1"/>
    <col min="8" max="8" width="11.140625" style="35" customWidth="1"/>
    <col min="9" max="9" width="11.00390625" style="35" customWidth="1"/>
    <col min="10" max="10" width="8.8515625" style="35" customWidth="1"/>
    <col min="11" max="11" width="9.8515625" style="35" bestFit="1" customWidth="1"/>
    <col min="12" max="12" width="10.421875" style="35" customWidth="1"/>
    <col min="13" max="14" width="8.8515625" style="35" customWidth="1"/>
    <col min="15" max="15" width="9.8515625" style="35" bestFit="1" customWidth="1"/>
    <col min="16" max="19" width="8.8515625" style="35" customWidth="1"/>
    <col min="20" max="21" width="9.8515625" style="35" bestFit="1" customWidth="1"/>
    <col min="22" max="23" width="9.8515625" style="98" bestFit="1" customWidth="1"/>
    <col min="24" max="25" width="10.8515625" style="98" bestFit="1" customWidth="1"/>
    <col min="26" max="26" width="10.421875" style="98" customWidth="1"/>
    <col min="27" max="16384" width="8.8515625" style="35" customWidth="1"/>
  </cols>
  <sheetData>
    <row r="1" ht="15">
      <c r="A1" s="34" t="s">
        <v>111</v>
      </c>
    </row>
    <row r="2" ht="15"/>
    <row r="3" ht="15">
      <c r="A3" s="35" t="s">
        <v>131</v>
      </c>
    </row>
    <row r="4" ht="15">
      <c r="A4" s="83" t="s">
        <v>160</v>
      </c>
    </row>
    <row r="6" spans="1:19" ht="15.75" thickBot="1">
      <c r="A6" s="34" t="s">
        <v>98</v>
      </c>
      <c r="K6" s="35">
        <v>1</v>
      </c>
      <c r="L6" s="35">
        <v>2</v>
      </c>
      <c r="M6" s="35">
        <v>3</v>
      </c>
      <c r="N6" s="35">
        <v>4</v>
      </c>
      <c r="P6" s="35">
        <v>1</v>
      </c>
      <c r="Q6" s="35">
        <v>2</v>
      </c>
      <c r="R6" s="35">
        <v>3</v>
      </c>
      <c r="S6" s="35">
        <v>4</v>
      </c>
    </row>
    <row r="7" spans="1:10" ht="15">
      <c r="A7" s="63" t="s">
        <v>150</v>
      </c>
      <c r="B7" s="79" t="s">
        <v>155</v>
      </c>
      <c r="C7" s="79" t="s">
        <v>151</v>
      </c>
      <c r="D7" s="79" t="s">
        <v>153</v>
      </c>
      <c r="E7" s="75" t="s">
        <v>143</v>
      </c>
      <c r="F7" s="76" t="s">
        <v>96</v>
      </c>
      <c r="H7" s="98"/>
      <c r="I7" s="98"/>
      <c r="J7" s="98"/>
    </row>
    <row r="8" spans="1:10" ht="15.75" thickBot="1">
      <c r="A8" s="64"/>
      <c r="B8" s="80" t="s">
        <v>152</v>
      </c>
      <c r="C8" s="80" t="s">
        <v>152</v>
      </c>
      <c r="D8" s="80" t="s">
        <v>152</v>
      </c>
      <c r="E8" s="85" t="s">
        <v>154</v>
      </c>
      <c r="F8" s="86" t="s">
        <v>154</v>
      </c>
      <c r="H8" s="98"/>
      <c r="I8" s="98"/>
      <c r="J8" s="98"/>
    </row>
    <row r="9" spans="1:25" ht="15">
      <c r="A9" s="36" t="s">
        <v>68</v>
      </c>
      <c r="B9" s="81">
        <v>4208778</v>
      </c>
      <c r="C9" s="77">
        <v>40909</v>
      </c>
      <c r="D9" s="77">
        <v>43100</v>
      </c>
      <c r="E9" s="67">
        <v>1600000</v>
      </c>
      <c r="F9" s="68">
        <v>800000</v>
      </c>
      <c r="G9" s="98">
        <v>12</v>
      </c>
      <c r="H9" s="98">
        <f>(E9/12)*G9</f>
        <v>1600000</v>
      </c>
      <c r="I9" s="98">
        <f>(F9/12)*G9</f>
        <v>800000</v>
      </c>
      <c r="J9" s="99">
        <f>I9/H9</f>
        <v>0.5</v>
      </c>
      <c r="K9" s="98">
        <f>$H$9/4</f>
        <v>400000</v>
      </c>
      <c r="L9" s="98">
        <f aca="true" t="shared" si="0" ref="L9:N12">$H$9/4</f>
        <v>400000</v>
      </c>
      <c r="M9" s="98">
        <f t="shared" si="0"/>
        <v>400000</v>
      </c>
      <c r="N9" s="98">
        <f t="shared" si="0"/>
        <v>400000</v>
      </c>
      <c r="O9" s="98"/>
      <c r="P9" s="98">
        <f>K9*$J9</f>
        <v>200000</v>
      </c>
      <c r="Q9" s="98">
        <f>L9*$J9</f>
        <v>200000</v>
      </c>
      <c r="R9" s="98">
        <f aca="true" t="shared" si="1" ref="R9:S9">M9*$J9</f>
        <v>200000</v>
      </c>
      <c r="S9" s="98">
        <f t="shared" si="1"/>
        <v>200000</v>
      </c>
      <c r="T9" s="98">
        <f aca="true" t="shared" si="2" ref="T9:T16">SUM(P9:S9)</f>
        <v>800000</v>
      </c>
      <c r="V9" s="98">
        <f>K9-P9</f>
        <v>200000</v>
      </c>
      <c r="W9" s="98">
        <f aca="true" t="shared" si="3" ref="W9:Y9">L9-Q9</f>
        <v>200000</v>
      </c>
      <c r="X9" s="98">
        <f t="shared" si="3"/>
        <v>200000</v>
      </c>
      <c r="Y9" s="98">
        <f t="shared" si="3"/>
        <v>200000</v>
      </c>
    </row>
    <row r="10" spans="1:25" ht="15">
      <c r="A10" s="36" t="s">
        <v>67</v>
      </c>
      <c r="B10" s="81">
        <v>4208687</v>
      </c>
      <c r="C10" s="77">
        <v>40725</v>
      </c>
      <c r="D10" s="77">
        <v>42916</v>
      </c>
      <c r="E10" s="67">
        <v>7000000</v>
      </c>
      <c r="F10" s="68">
        <v>3200000</v>
      </c>
      <c r="G10" s="35">
        <v>6</v>
      </c>
      <c r="H10" s="98">
        <f aca="true" t="shared" si="4" ref="H10:H16">(E10/12)*G10</f>
        <v>3500000</v>
      </c>
      <c r="I10" s="98">
        <f>(F10/12)*G10</f>
        <v>1600000</v>
      </c>
      <c r="J10" s="99">
        <f aca="true" t="shared" si="5" ref="J10:J17">I10/H10</f>
        <v>0.45714285714285713</v>
      </c>
      <c r="K10" s="98">
        <f>$H10/2</f>
        <v>1750000</v>
      </c>
      <c r="L10" s="98">
        <f>$H10/2</f>
        <v>1750000</v>
      </c>
      <c r="M10" s="98"/>
      <c r="N10" s="98"/>
      <c r="O10" s="98"/>
      <c r="P10" s="98">
        <f aca="true" t="shared" si="6" ref="P10:P16">K10*$J10</f>
        <v>800000</v>
      </c>
      <c r="Q10" s="98">
        <f aca="true" t="shared" si="7" ref="Q10:Q16">L10*$J10</f>
        <v>800000</v>
      </c>
      <c r="R10" s="98">
        <f aca="true" t="shared" si="8" ref="R10:R16">M10*$J10</f>
        <v>0</v>
      </c>
      <c r="S10" s="98">
        <f aca="true" t="shared" si="9" ref="S10:S16">N10*$J10</f>
        <v>0</v>
      </c>
      <c r="T10" s="98">
        <f t="shared" si="2"/>
        <v>1600000</v>
      </c>
      <c r="V10" s="98">
        <f aca="true" t="shared" si="10" ref="V10:V16">K10-P10</f>
        <v>950000</v>
      </c>
      <c r="W10" s="98">
        <f aca="true" t="shared" si="11" ref="W10:W16">L10-Q10</f>
        <v>950000</v>
      </c>
      <c r="X10" s="98">
        <f aca="true" t="shared" si="12" ref="X10:X16">M10-R10</f>
        <v>0</v>
      </c>
      <c r="Y10" s="98">
        <f aca="true" t="shared" si="13" ref="Y10:Y16">N10-S10</f>
        <v>0</v>
      </c>
    </row>
    <row r="11" spans="1:25" ht="15">
      <c r="A11" s="37" t="s">
        <v>42</v>
      </c>
      <c r="B11" s="81">
        <v>4200953</v>
      </c>
      <c r="C11" s="77">
        <v>41913</v>
      </c>
      <c r="D11" s="77">
        <v>43373</v>
      </c>
      <c r="E11" s="67">
        <v>15600000</v>
      </c>
      <c r="F11" s="68">
        <v>9000000</v>
      </c>
      <c r="G11" s="35">
        <v>12</v>
      </c>
      <c r="H11" s="98">
        <f t="shared" si="4"/>
        <v>15600000</v>
      </c>
      <c r="I11" s="98">
        <f aca="true" t="shared" si="14" ref="I10:I16">(F11/12)*G11</f>
        <v>9000000</v>
      </c>
      <c r="J11" s="99">
        <f t="shared" si="5"/>
        <v>0.5769230769230769</v>
      </c>
      <c r="K11" s="98">
        <f>$H11/4</f>
        <v>3900000</v>
      </c>
      <c r="L11" s="98">
        <f aca="true" t="shared" si="15" ref="L11:N15">$H11/4</f>
        <v>3900000</v>
      </c>
      <c r="M11" s="98">
        <f t="shared" si="15"/>
        <v>3900000</v>
      </c>
      <c r="N11" s="98">
        <f t="shared" si="15"/>
        <v>3900000</v>
      </c>
      <c r="O11" s="98"/>
      <c r="P11" s="98">
        <f t="shared" si="6"/>
        <v>2250000</v>
      </c>
      <c r="Q11" s="98">
        <f t="shared" si="7"/>
        <v>2250000</v>
      </c>
      <c r="R11" s="98">
        <f t="shared" si="8"/>
        <v>2250000</v>
      </c>
      <c r="S11" s="98">
        <f t="shared" si="9"/>
        <v>2250000</v>
      </c>
      <c r="T11" s="98">
        <f t="shared" si="2"/>
        <v>9000000</v>
      </c>
      <c r="V11" s="98">
        <f t="shared" si="10"/>
        <v>1650000</v>
      </c>
      <c r="W11" s="98">
        <f t="shared" si="11"/>
        <v>1650000</v>
      </c>
      <c r="X11" s="98">
        <f t="shared" si="12"/>
        <v>1650000</v>
      </c>
      <c r="Y11" s="98">
        <f t="shared" si="13"/>
        <v>1650000</v>
      </c>
    </row>
    <row r="12" spans="1:25" ht="15">
      <c r="A12" s="36" t="s">
        <v>43</v>
      </c>
      <c r="B12" s="81">
        <v>4281888</v>
      </c>
      <c r="C12" s="77">
        <v>41640</v>
      </c>
      <c r="D12" s="77">
        <v>43830</v>
      </c>
      <c r="E12" s="67">
        <v>3500000</v>
      </c>
      <c r="F12" s="68">
        <v>2000000</v>
      </c>
      <c r="G12" s="35">
        <v>12</v>
      </c>
      <c r="H12" s="98">
        <f t="shared" si="4"/>
        <v>3500000</v>
      </c>
      <c r="I12" s="98">
        <f t="shared" si="14"/>
        <v>2000000</v>
      </c>
      <c r="J12" s="99">
        <f t="shared" si="5"/>
        <v>0.5714285714285714</v>
      </c>
      <c r="K12" s="98">
        <f>$H12/4</f>
        <v>875000</v>
      </c>
      <c r="L12" s="98">
        <f t="shared" si="15"/>
        <v>875000</v>
      </c>
      <c r="M12" s="98">
        <f t="shared" si="15"/>
        <v>875000</v>
      </c>
      <c r="N12" s="98">
        <f t="shared" si="15"/>
        <v>875000</v>
      </c>
      <c r="O12" s="98"/>
      <c r="P12" s="98">
        <f t="shared" si="6"/>
        <v>500000</v>
      </c>
      <c r="Q12" s="98">
        <f t="shared" si="7"/>
        <v>500000</v>
      </c>
      <c r="R12" s="98">
        <f t="shared" si="8"/>
        <v>500000</v>
      </c>
      <c r="S12" s="98">
        <f t="shared" si="9"/>
        <v>500000</v>
      </c>
      <c r="T12" s="98">
        <f t="shared" si="2"/>
        <v>2000000</v>
      </c>
      <c r="V12" s="98">
        <f t="shared" si="10"/>
        <v>375000</v>
      </c>
      <c r="W12" s="98">
        <f t="shared" si="11"/>
        <v>375000</v>
      </c>
      <c r="X12" s="98">
        <f t="shared" si="12"/>
        <v>375000</v>
      </c>
      <c r="Y12" s="98">
        <f t="shared" si="13"/>
        <v>375000</v>
      </c>
    </row>
    <row r="13" spans="1:25" ht="15">
      <c r="A13" s="36" t="s">
        <v>44</v>
      </c>
      <c r="B13" s="81">
        <v>4208382</v>
      </c>
      <c r="C13" s="77">
        <v>41365</v>
      </c>
      <c r="D13" s="77">
        <v>42825</v>
      </c>
      <c r="E13" s="67">
        <v>5000000</v>
      </c>
      <c r="F13" s="68">
        <v>2500000</v>
      </c>
      <c r="G13" s="35">
        <v>3</v>
      </c>
      <c r="H13" s="98">
        <f t="shared" si="4"/>
        <v>1250000</v>
      </c>
      <c r="I13" s="98">
        <f t="shared" si="14"/>
        <v>625000</v>
      </c>
      <c r="J13" s="99">
        <f t="shared" si="5"/>
        <v>0.5</v>
      </c>
      <c r="K13" s="98">
        <f>H13</f>
        <v>1250000</v>
      </c>
      <c r="L13" s="98"/>
      <c r="M13" s="98"/>
      <c r="N13" s="98"/>
      <c r="O13" s="98"/>
      <c r="P13" s="98">
        <f t="shared" si="6"/>
        <v>625000</v>
      </c>
      <c r="Q13" s="98">
        <f t="shared" si="7"/>
        <v>0</v>
      </c>
      <c r="R13" s="98">
        <f t="shared" si="8"/>
        <v>0</v>
      </c>
      <c r="S13" s="98">
        <f t="shared" si="9"/>
        <v>0</v>
      </c>
      <c r="T13" s="98">
        <f t="shared" si="2"/>
        <v>625000</v>
      </c>
      <c r="V13" s="98">
        <f t="shared" si="10"/>
        <v>625000</v>
      </c>
      <c r="W13" s="98">
        <f t="shared" si="11"/>
        <v>0</v>
      </c>
      <c r="X13" s="98">
        <f t="shared" si="12"/>
        <v>0</v>
      </c>
      <c r="Y13" s="98">
        <f t="shared" si="13"/>
        <v>0</v>
      </c>
    </row>
    <row r="14" spans="1:25" ht="15">
      <c r="A14" s="36" t="s">
        <v>70</v>
      </c>
      <c r="B14" s="81">
        <v>4202270</v>
      </c>
      <c r="C14" s="77">
        <v>42005</v>
      </c>
      <c r="D14" s="77">
        <v>44196</v>
      </c>
      <c r="E14" s="67">
        <v>11100000</v>
      </c>
      <c r="F14" s="68">
        <v>5000000</v>
      </c>
      <c r="G14" s="35">
        <v>12</v>
      </c>
      <c r="H14" s="98">
        <f t="shared" si="4"/>
        <v>11100000</v>
      </c>
      <c r="I14" s="98">
        <f t="shared" si="14"/>
        <v>5000000</v>
      </c>
      <c r="J14" s="99">
        <f t="shared" si="5"/>
        <v>0.45045045045045046</v>
      </c>
      <c r="K14" s="98">
        <f aca="true" t="shared" si="16" ref="K14:K16">$H14/4</f>
        <v>2775000</v>
      </c>
      <c r="L14" s="98">
        <f t="shared" si="15"/>
        <v>2775000</v>
      </c>
      <c r="M14" s="98">
        <f t="shared" si="15"/>
        <v>2775000</v>
      </c>
      <c r="N14" s="98">
        <f t="shared" si="15"/>
        <v>2775000</v>
      </c>
      <c r="O14" s="98"/>
      <c r="P14" s="98">
        <f t="shared" si="6"/>
        <v>1250000</v>
      </c>
      <c r="Q14" s="98">
        <f t="shared" si="7"/>
        <v>1250000</v>
      </c>
      <c r="R14" s="98">
        <f t="shared" si="8"/>
        <v>1250000</v>
      </c>
      <c r="S14" s="98">
        <f t="shared" si="9"/>
        <v>1250000</v>
      </c>
      <c r="T14" s="98">
        <f t="shared" si="2"/>
        <v>5000000</v>
      </c>
      <c r="V14" s="98">
        <f t="shared" si="10"/>
        <v>1525000</v>
      </c>
      <c r="W14" s="98">
        <f t="shared" si="11"/>
        <v>1525000</v>
      </c>
      <c r="X14" s="98">
        <f t="shared" si="12"/>
        <v>1525000</v>
      </c>
      <c r="Y14" s="98">
        <f t="shared" si="13"/>
        <v>1525000</v>
      </c>
    </row>
    <row r="15" spans="1:25" ht="15">
      <c r="A15" s="36" t="s">
        <v>69</v>
      </c>
      <c r="B15" s="81">
        <v>4208947</v>
      </c>
      <c r="C15" s="77">
        <v>41640</v>
      </c>
      <c r="D15" s="77">
        <v>43830</v>
      </c>
      <c r="E15" s="67">
        <v>4000000</v>
      </c>
      <c r="F15" s="68">
        <v>2200000</v>
      </c>
      <c r="G15" s="35">
        <v>12</v>
      </c>
      <c r="H15" s="98">
        <f t="shared" si="4"/>
        <v>4000000</v>
      </c>
      <c r="I15" s="98">
        <f t="shared" si="14"/>
        <v>2200000</v>
      </c>
      <c r="J15" s="99">
        <f t="shared" si="5"/>
        <v>0.55</v>
      </c>
      <c r="K15" s="98">
        <f t="shared" si="16"/>
        <v>1000000</v>
      </c>
      <c r="L15" s="98">
        <f t="shared" si="15"/>
        <v>1000000</v>
      </c>
      <c r="M15" s="98">
        <f t="shared" si="15"/>
        <v>1000000</v>
      </c>
      <c r="N15" s="98">
        <f t="shared" si="15"/>
        <v>1000000</v>
      </c>
      <c r="O15" s="98"/>
      <c r="P15" s="98">
        <f t="shared" si="6"/>
        <v>550000</v>
      </c>
      <c r="Q15" s="98">
        <f t="shared" si="7"/>
        <v>550000</v>
      </c>
      <c r="R15" s="98">
        <f t="shared" si="8"/>
        <v>550000</v>
      </c>
      <c r="S15" s="98">
        <f t="shared" si="9"/>
        <v>550000</v>
      </c>
      <c r="T15" s="98">
        <f t="shared" si="2"/>
        <v>2200000</v>
      </c>
      <c r="V15" s="98">
        <f t="shared" si="10"/>
        <v>450000</v>
      </c>
      <c r="W15" s="98">
        <f t="shared" si="11"/>
        <v>450000</v>
      </c>
      <c r="X15" s="98">
        <f t="shared" si="12"/>
        <v>450000</v>
      </c>
      <c r="Y15" s="98">
        <f t="shared" si="13"/>
        <v>450000</v>
      </c>
    </row>
    <row r="16" spans="1:25" ht="15.75" thickBot="1">
      <c r="A16" s="38" t="s">
        <v>45</v>
      </c>
      <c r="B16" s="82">
        <v>4208793</v>
      </c>
      <c r="C16" s="78">
        <v>41456</v>
      </c>
      <c r="D16" s="78">
        <v>42916</v>
      </c>
      <c r="E16" s="72">
        <v>1000000</v>
      </c>
      <c r="F16" s="73">
        <v>600000</v>
      </c>
      <c r="G16" s="35">
        <v>6</v>
      </c>
      <c r="H16" s="98">
        <f t="shared" si="4"/>
        <v>500000</v>
      </c>
      <c r="I16" s="98">
        <f t="shared" si="14"/>
        <v>300000</v>
      </c>
      <c r="J16" s="99">
        <f t="shared" si="5"/>
        <v>0.6</v>
      </c>
      <c r="K16" s="98">
        <f>$H16/2</f>
        <v>250000</v>
      </c>
      <c r="L16" s="98">
        <f>$H16/2</f>
        <v>250000</v>
      </c>
      <c r="M16" s="98"/>
      <c r="N16" s="98"/>
      <c r="O16" s="98"/>
      <c r="P16" s="98">
        <f t="shared" si="6"/>
        <v>150000</v>
      </c>
      <c r="Q16" s="98">
        <f t="shared" si="7"/>
        <v>150000</v>
      </c>
      <c r="R16" s="98">
        <f t="shared" si="8"/>
        <v>0</v>
      </c>
      <c r="S16" s="98">
        <f t="shared" si="9"/>
        <v>0</v>
      </c>
      <c r="T16" s="98">
        <f t="shared" si="2"/>
        <v>300000</v>
      </c>
      <c r="V16" s="98">
        <f t="shared" si="10"/>
        <v>100000</v>
      </c>
      <c r="W16" s="98">
        <f t="shared" si="11"/>
        <v>100000</v>
      </c>
      <c r="X16" s="98">
        <f t="shared" si="12"/>
        <v>0</v>
      </c>
      <c r="Y16" s="98">
        <f t="shared" si="13"/>
        <v>0</v>
      </c>
    </row>
    <row r="17" spans="1:25" ht="15">
      <c r="A17" s="39" t="s">
        <v>156</v>
      </c>
      <c r="B17" s="62"/>
      <c r="C17" s="62"/>
      <c r="D17" s="62"/>
      <c r="E17" s="74">
        <f>SUM(E9:E16)</f>
        <v>48800000</v>
      </c>
      <c r="F17" s="74">
        <f>SUM(F9:F16)</f>
        <v>25300000</v>
      </c>
      <c r="H17" s="98">
        <f>SUM(H9:H16)</f>
        <v>41050000</v>
      </c>
      <c r="I17" s="98">
        <f>SUM(I9:I16)</f>
        <v>21525000</v>
      </c>
      <c r="J17" s="99">
        <f t="shared" si="5"/>
        <v>0.5243605359317906</v>
      </c>
      <c r="K17" s="98">
        <f>SUM(K9:K16)</f>
        <v>12200000</v>
      </c>
      <c r="L17" s="98">
        <f aca="true" t="shared" si="17" ref="L17:N17">SUM(L9:L16)</f>
        <v>10950000</v>
      </c>
      <c r="M17" s="98">
        <f t="shared" si="17"/>
        <v>8950000</v>
      </c>
      <c r="N17" s="98">
        <f t="shared" si="17"/>
        <v>8950000</v>
      </c>
      <c r="O17" s="98">
        <f>SUM(K17:N17)</f>
        <v>41050000</v>
      </c>
      <c r="P17" s="98">
        <f>SUM(P9:P16)</f>
        <v>6325000</v>
      </c>
      <c r="Q17" s="98">
        <f aca="true" t="shared" si="18" ref="Q17:S17">SUM(Q9:Q16)</f>
        <v>5700000</v>
      </c>
      <c r="R17" s="98">
        <f t="shared" si="18"/>
        <v>4750000</v>
      </c>
      <c r="S17" s="98">
        <f t="shared" si="18"/>
        <v>4750000</v>
      </c>
      <c r="T17" s="98">
        <f>SUM(P17:S17)</f>
        <v>21525000</v>
      </c>
      <c r="V17" s="98">
        <f aca="true" t="shared" si="19" ref="V17:Y17">SUM(R17:U17)</f>
        <v>31025000</v>
      </c>
      <c r="W17" s="98">
        <f t="shared" si="19"/>
        <v>57300000</v>
      </c>
      <c r="X17" s="98">
        <f t="shared" si="19"/>
        <v>109850000</v>
      </c>
      <c r="Y17" s="98">
        <f t="shared" si="19"/>
        <v>198175000</v>
      </c>
    </row>
    <row r="18" spans="2:15" ht="15">
      <c r="B18" s="62"/>
      <c r="C18" s="62"/>
      <c r="D18" s="62"/>
      <c r="F18" s="40"/>
      <c r="H18" s="98"/>
      <c r="I18" s="98"/>
      <c r="J18" s="99"/>
      <c r="K18" s="98"/>
      <c r="L18" s="98"/>
      <c r="M18" s="98"/>
      <c r="N18" s="98"/>
      <c r="O18" s="98"/>
    </row>
    <row r="19" spans="1:15" ht="15.75" thickBot="1">
      <c r="A19" s="34" t="s">
        <v>149</v>
      </c>
      <c r="B19" s="62"/>
      <c r="C19" s="62"/>
      <c r="D19" s="62"/>
      <c r="H19" s="98"/>
      <c r="I19" s="98"/>
      <c r="J19" s="99"/>
      <c r="K19" s="98"/>
      <c r="L19" s="98"/>
      <c r="M19" s="98"/>
      <c r="N19" s="98"/>
      <c r="O19" s="98"/>
    </row>
    <row r="20" spans="1:15" ht="15">
      <c r="A20" s="63" t="s">
        <v>150</v>
      </c>
      <c r="B20" s="79" t="s">
        <v>155</v>
      </c>
      <c r="C20" s="79" t="s">
        <v>151</v>
      </c>
      <c r="D20" s="79" t="s">
        <v>153</v>
      </c>
      <c r="E20" s="75" t="s">
        <v>143</v>
      </c>
      <c r="F20" s="76" t="s">
        <v>96</v>
      </c>
      <c r="H20" s="98"/>
      <c r="I20" s="98"/>
      <c r="J20" s="99"/>
      <c r="K20" s="98"/>
      <c r="L20" s="98"/>
      <c r="M20" s="98"/>
      <c r="N20" s="98"/>
      <c r="O20" s="98"/>
    </row>
    <row r="21" spans="1:15" ht="15.75" thickBot="1">
      <c r="A21" s="64"/>
      <c r="B21" s="80" t="s">
        <v>152</v>
      </c>
      <c r="C21" s="80" t="s">
        <v>152</v>
      </c>
      <c r="D21" s="80" t="s">
        <v>152</v>
      </c>
      <c r="E21" s="85" t="s">
        <v>154</v>
      </c>
      <c r="F21" s="86" t="s">
        <v>154</v>
      </c>
      <c r="H21" s="98"/>
      <c r="I21" s="98"/>
      <c r="J21" s="99"/>
      <c r="K21" s="98"/>
      <c r="L21" s="98"/>
      <c r="M21" s="98"/>
      <c r="N21" s="98"/>
      <c r="O21" s="98"/>
    </row>
    <row r="22" spans="1:26" ht="15">
      <c r="A22" s="36" t="s">
        <v>76</v>
      </c>
      <c r="B22" s="81"/>
      <c r="C22" s="77">
        <v>42736</v>
      </c>
      <c r="D22" s="77">
        <v>44926</v>
      </c>
      <c r="E22" s="65">
        <v>16500000</v>
      </c>
      <c r="F22" s="66">
        <v>10000000</v>
      </c>
      <c r="G22" s="98">
        <v>12</v>
      </c>
      <c r="H22" s="98">
        <f>(E22/G22)*G22</f>
        <v>16500000</v>
      </c>
      <c r="I22" s="98">
        <f>(F22/12)*G22</f>
        <v>10000000</v>
      </c>
      <c r="J22" s="99">
        <f aca="true" t="shared" si="20" ref="J22:J26">I22/H22</f>
        <v>0.6060606060606061</v>
      </c>
      <c r="K22" s="98">
        <f aca="true" t="shared" si="21" ref="K22:N26">$H22/4</f>
        <v>4125000</v>
      </c>
      <c r="L22" s="98">
        <f t="shared" si="21"/>
        <v>4125000</v>
      </c>
      <c r="M22" s="98">
        <f t="shared" si="21"/>
        <v>4125000</v>
      </c>
      <c r="N22" s="98">
        <f t="shared" si="21"/>
        <v>4125000</v>
      </c>
      <c r="O22" s="98"/>
      <c r="P22" s="98">
        <f>K22*$J22</f>
        <v>2500000</v>
      </c>
      <c r="Q22" s="98">
        <f>L22*$J22</f>
        <v>2500000</v>
      </c>
      <c r="R22" s="98">
        <f aca="true" t="shared" si="22" ref="R22:R29">M22*$J22</f>
        <v>2500000</v>
      </c>
      <c r="S22" s="98">
        <f aca="true" t="shared" si="23" ref="S22:S29">N22*$J22</f>
        <v>2500000</v>
      </c>
      <c r="T22" s="98">
        <f aca="true" t="shared" si="24" ref="T22:T29">SUM(P22:S22)</f>
        <v>10000000</v>
      </c>
      <c r="V22" s="98">
        <f>K22-P22</f>
        <v>1625000</v>
      </c>
      <c r="W22" s="98">
        <f aca="true" t="shared" si="25" ref="W22:W25">L22-Q22</f>
        <v>1625000</v>
      </c>
      <c r="X22" s="98">
        <f aca="true" t="shared" si="26" ref="X22:X25">M22-R22</f>
        <v>1625000</v>
      </c>
      <c r="Y22" s="98">
        <f aca="true" t="shared" si="27" ref="Y22:Y25">N22-S22</f>
        <v>1625000</v>
      </c>
      <c r="Z22" s="98">
        <f>SUM(V22:Y22)</f>
        <v>6500000</v>
      </c>
    </row>
    <row r="23" spans="1:26" ht="15">
      <c r="A23" s="36" t="s">
        <v>77</v>
      </c>
      <c r="B23" s="81"/>
      <c r="C23" s="77">
        <v>42461</v>
      </c>
      <c r="D23" s="77">
        <v>43921</v>
      </c>
      <c r="E23" s="65">
        <v>8000000</v>
      </c>
      <c r="F23" s="66">
        <v>3500000</v>
      </c>
      <c r="G23" s="98">
        <v>12</v>
      </c>
      <c r="H23" s="98">
        <f aca="true" t="shared" si="28" ref="H23:H25">(E23/G23)*G23</f>
        <v>8000000</v>
      </c>
      <c r="I23" s="98">
        <f aca="true" t="shared" si="29" ref="I23:I25">(F23/12)*G23</f>
        <v>3500000</v>
      </c>
      <c r="J23" s="99">
        <f t="shared" si="20"/>
        <v>0.4375</v>
      </c>
      <c r="K23" s="98">
        <f t="shared" si="21"/>
        <v>2000000</v>
      </c>
      <c r="L23" s="98">
        <f t="shared" si="21"/>
        <v>2000000</v>
      </c>
      <c r="M23" s="98">
        <f t="shared" si="21"/>
        <v>2000000</v>
      </c>
      <c r="N23" s="98">
        <f t="shared" si="21"/>
        <v>2000000</v>
      </c>
      <c r="O23" s="98"/>
      <c r="P23" s="98">
        <f aca="true" t="shared" si="30" ref="P23:P29">K23*$J23</f>
        <v>875000</v>
      </c>
      <c r="Q23" s="98">
        <f aca="true" t="shared" si="31" ref="Q23:Q29">L23*$J23</f>
        <v>875000</v>
      </c>
      <c r="R23" s="98">
        <f t="shared" si="22"/>
        <v>875000</v>
      </c>
      <c r="S23" s="98">
        <f t="shared" si="23"/>
        <v>875000</v>
      </c>
      <c r="T23" s="98">
        <f t="shared" si="24"/>
        <v>3500000</v>
      </c>
      <c r="V23" s="98">
        <f aca="true" t="shared" si="32" ref="V22:V25">K23-P23</f>
        <v>1125000</v>
      </c>
      <c r="W23" s="98">
        <f t="shared" si="25"/>
        <v>1125000</v>
      </c>
      <c r="X23" s="98">
        <f t="shared" si="26"/>
        <v>1125000</v>
      </c>
      <c r="Y23" s="98">
        <f t="shared" si="27"/>
        <v>1125000</v>
      </c>
      <c r="Z23" s="98">
        <f aca="true" t="shared" si="33" ref="Z23:Z25">SUM(V23:Y23)</f>
        <v>4500000</v>
      </c>
    </row>
    <row r="24" spans="1:26" ht="15">
      <c r="A24" s="37" t="s">
        <v>78</v>
      </c>
      <c r="B24" s="81"/>
      <c r="C24" s="77">
        <v>42461</v>
      </c>
      <c r="D24" s="77">
        <v>43190</v>
      </c>
      <c r="E24" s="67">
        <v>5000000</v>
      </c>
      <c r="F24" s="68">
        <v>2800000</v>
      </c>
      <c r="G24" s="98">
        <v>12</v>
      </c>
      <c r="H24" s="98">
        <f t="shared" si="28"/>
        <v>5000000</v>
      </c>
      <c r="I24" s="98">
        <f t="shared" si="29"/>
        <v>2800000</v>
      </c>
      <c r="J24" s="99">
        <f t="shared" si="20"/>
        <v>0.56</v>
      </c>
      <c r="K24" s="98">
        <f t="shared" si="21"/>
        <v>1250000</v>
      </c>
      <c r="L24" s="98">
        <f t="shared" si="21"/>
        <v>1250000</v>
      </c>
      <c r="M24" s="98">
        <f t="shared" si="21"/>
        <v>1250000</v>
      </c>
      <c r="N24" s="98">
        <f t="shared" si="21"/>
        <v>1250000</v>
      </c>
      <c r="O24" s="98"/>
      <c r="P24" s="98">
        <f t="shared" si="30"/>
        <v>700000.0000000001</v>
      </c>
      <c r="Q24" s="98">
        <f t="shared" si="31"/>
        <v>700000.0000000001</v>
      </c>
      <c r="R24" s="98">
        <f t="shared" si="22"/>
        <v>700000.0000000001</v>
      </c>
      <c r="S24" s="98">
        <f t="shared" si="23"/>
        <v>700000.0000000001</v>
      </c>
      <c r="T24" s="98">
        <f t="shared" si="24"/>
        <v>2800000.0000000005</v>
      </c>
      <c r="V24" s="98">
        <f t="shared" si="32"/>
        <v>549999.9999999999</v>
      </c>
      <c r="W24" s="98">
        <f t="shared" si="25"/>
        <v>549999.9999999999</v>
      </c>
      <c r="X24" s="98">
        <f t="shared" si="26"/>
        <v>549999.9999999999</v>
      </c>
      <c r="Y24" s="98">
        <f t="shared" si="27"/>
        <v>549999.9999999999</v>
      </c>
      <c r="Z24" s="98">
        <f t="shared" si="33"/>
        <v>2199999.9999999995</v>
      </c>
    </row>
    <row r="25" spans="1:26" ht="15.75" thickBot="1">
      <c r="A25" s="38" t="s">
        <v>79</v>
      </c>
      <c r="B25" s="82"/>
      <c r="C25" s="78">
        <v>42644</v>
      </c>
      <c r="D25" s="78">
        <v>44104</v>
      </c>
      <c r="E25" s="69">
        <v>1500000</v>
      </c>
      <c r="F25" s="70">
        <v>1000000</v>
      </c>
      <c r="G25" s="98">
        <v>12</v>
      </c>
      <c r="H25" s="98">
        <f t="shared" si="28"/>
        <v>1500000</v>
      </c>
      <c r="I25" s="98">
        <f t="shared" si="29"/>
        <v>1000000</v>
      </c>
      <c r="J25" s="99">
        <f t="shared" si="20"/>
        <v>0.6666666666666666</v>
      </c>
      <c r="K25" s="98">
        <f t="shared" si="21"/>
        <v>375000</v>
      </c>
      <c r="L25" s="98">
        <f t="shared" si="21"/>
        <v>375000</v>
      </c>
      <c r="M25" s="98">
        <f t="shared" si="21"/>
        <v>375000</v>
      </c>
      <c r="N25" s="98">
        <f t="shared" si="21"/>
        <v>375000</v>
      </c>
      <c r="P25" s="98">
        <f t="shared" si="30"/>
        <v>250000</v>
      </c>
      <c r="Q25" s="98">
        <f t="shared" si="31"/>
        <v>250000</v>
      </c>
      <c r="R25" s="98">
        <f t="shared" si="22"/>
        <v>250000</v>
      </c>
      <c r="S25" s="98">
        <f t="shared" si="23"/>
        <v>250000</v>
      </c>
      <c r="T25" s="98">
        <f t="shared" si="24"/>
        <v>1000000</v>
      </c>
      <c r="V25" s="98">
        <f t="shared" si="32"/>
        <v>125000</v>
      </c>
      <c r="W25" s="98">
        <f t="shared" si="25"/>
        <v>125000</v>
      </c>
      <c r="X25" s="98">
        <f t="shared" si="26"/>
        <v>125000</v>
      </c>
      <c r="Y25" s="98">
        <f t="shared" si="27"/>
        <v>125000</v>
      </c>
      <c r="Z25" s="98">
        <f t="shared" si="33"/>
        <v>500000</v>
      </c>
    </row>
    <row r="26" spans="1:26" ht="15">
      <c r="A26" s="39" t="s">
        <v>156</v>
      </c>
      <c r="E26" s="71">
        <f>SUM(E22:E25)</f>
        <v>31000000</v>
      </c>
      <c r="F26" s="71">
        <f>SUM(F22:F25)</f>
        <v>17300000</v>
      </c>
      <c r="H26" s="98">
        <f>SUM(H22:H25)</f>
        <v>31000000</v>
      </c>
      <c r="I26" s="98">
        <f>SUM(I22:I25)</f>
        <v>17300000</v>
      </c>
      <c r="J26" s="99">
        <f t="shared" si="20"/>
        <v>0.5580645161290323</v>
      </c>
      <c r="K26" s="98">
        <f>SUM(K22:K25)</f>
        <v>7750000</v>
      </c>
      <c r="L26" s="98">
        <f t="shared" si="21"/>
        <v>7750000</v>
      </c>
      <c r="M26" s="98">
        <f t="shared" si="21"/>
        <v>7750000</v>
      </c>
      <c r="N26" s="98">
        <f t="shared" si="21"/>
        <v>7750000</v>
      </c>
      <c r="O26" s="98">
        <f>SUM(K26:N26)</f>
        <v>31000000</v>
      </c>
      <c r="P26" s="98">
        <f t="shared" si="30"/>
        <v>4325000</v>
      </c>
      <c r="Q26" s="98">
        <f t="shared" si="31"/>
        <v>4325000</v>
      </c>
      <c r="R26" s="98">
        <f t="shared" si="22"/>
        <v>4325000</v>
      </c>
      <c r="S26" s="98">
        <f t="shared" si="23"/>
        <v>4325000</v>
      </c>
      <c r="T26" s="98">
        <f t="shared" si="24"/>
        <v>17300000</v>
      </c>
      <c r="U26" s="98"/>
      <c r="V26" s="98">
        <f>SUM(V22:V25)</f>
        <v>3425000</v>
      </c>
      <c r="W26" s="98">
        <f aca="true" t="shared" si="34" ref="W26:Z26">SUM(W22:W25)</f>
        <v>3425000</v>
      </c>
      <c r="X26" s="98">
        <f t="shared" si="34"/>
        <v>3425000</v>
      </c>
      <c r="Y26" s="98">
        <f t="shared" si="34"/>
        <v>3425000</v>
      </c>
      <c r="Z26" s="98">
        <f t="shared" si="34"/>
        <v>13700000</v>
      </c>
    </row>
    <row r="27" spans="8:20" ht="15">
      <c r="H27" s="98"/>
      <c r="I27" s="98"/>
      <c r="J27" s="98"/>
      <c r="P27" s="98"/>
      <c r="Q27" s="98"/>
      <c r="R27" s="98"/>
      <c r="S27" s="98"/>
      <c r="T27" s="98"/>
    </row>
    <row r="28" spans="8:20" ht="15">
      <c r="H28" s="98"/>
      <c r="I28" s="98"/>
      <c r="J28" s="98"/>
      <c r="P28" s="98"/>
      <c r="Q28" s="98"/>
      <c r="R28" s="98"/>
      <c r="S28" s="98"/>
      <c r="T28" s="98"/>
    </row>
    <row r="29" spans="8:20" ht="15">
      <c r="H29" s="98"/>
      <c r="I29" s="98"/>
      <c r="J29" s="98"/>
      <c r="P29" s="98"/>
      <c r="Q29" s="98"/>
      <c r="R29" s="98"/>
      <c r="S29" s="98"/>
      <c r="T29" s="98"/>
    </row>
    <row r="30" spans="8:20" ht="15">
      <c r="H30" s="98"/>
      <c r="I30" s="98"/>
      <c r="J30" s="98"/>
      <c r="P30" s="98"/>
      <c r="Q30" s="98"/>
      <c r="R30" s="98"/>
      <c r="S30" s="98"/>
      <c r="T30" s="98"/>
    </row>
    <row r="31" spans="8:10" ht="15">
      <c r="H31" s="98"/>
      <c r="I31" s="98"/>
      <c r="J31" s="98"/>
    </row>
    <row r="32" spans="8:10" ht="15">
      <c r="H32" s="98"/>
      <c r="I32" s="98"/>
      <c r="J32" s="98"/>
    </row>
    <row r="33" spans="8:10" ht="15">
      <c r="H33" s="98"/>
      <c r="I33" s="98"/>
      <c r="J33" s="98"/>
    </row>
    <row r="34" spans="8:10" ht="15">
      <c r="H34" s="98"/>
      <c r="I34" s="98"/>
      <c r="J34" s="98"/>
    </row>
    <row r="35" spans="8:10" ht="15">
      <c r="H35" s="98"/>
      <c r="I35" s="98"/>
      <c r="J35" s="98"/>
    </row>
    <row r="36" spans="8:10" ht="15">
      <c r="H36" s="98"/>
      <c r="I36" s="98"/>
      <c r="J36" s="98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workbookViewId="0" topLeftCell="A1">
      <selection activeCell="C4" sqref="C4"/>
    </sheetView>
  </sheetViews>
  <sheetFormatPr defaultColWidth="8.8515625" defaultRowHeight="15"/>
  <cols>
    <col min="1" max="1" width="93.28125" style="21" customWidth="1"/>
    <col min="2" max="3" width="13.8515625" style="101" customWidth="1"/>
    <col min="4" max="4" width="13.8515625" style="21" customWidth="1"/>
    <col min="5" max="5" width="11.8515625" style="21" customWidth="1"/>
    <col min="6" max="6" width="12.421875" style="21" customWidth="1"/>
    <col min="7" max="7" width="12.28125" style="21" customWidth="1"/>
    <col min="8" max="8" width="10.8515625" style="21" bestFit="1" customWidth="1"/>
    <col min="9" max="16384" width="8.8515625" style="21" customWidth="1"/>
  </cols>
  <sheetData>
    <row r="1" ht="15">
      <c r="A1" s="23" t="s">
        <v>147</v>
      </c>
    </row>
    <row r="3" spans="1:7" ht="15">
      <c r="A3" s="19" t="s">
        <v>99</v>
      </c>
      <c r="D3" s="42" t="s">
        <v>39</v>
      </c>
      <c r="E3" s="42" t="s">
        <v>38</v>
      </c>
      <c r="F3" s="42" t="s">
        <v>40</v>
      </c>
      <c r="G3" s="42" t="s">
        <v>41</v>
      </c>
    </row>
    <row r="4" spans="1:11" s="20" customFormat="1" ht="12.75">
      <c r="A4" s="22" t="s">
        <v>133</v>
      </c>
      <c r="B4" s="100">
        <v>200</v>
      </c>
      <c r="C4" s="100">
        <f>40000</f>
        <v>40000</v>
      </c>
      <c r="D4" s="100"/>
      <c r="E4" s="100"/>
      <c r="F4" s="100"/>
      <c r="G4" s="100"/>
      <c r="J4" s="20">
        <v>200</v>
      </c>
      <c r="K4" s="20">
        <v>40000</v>
      </c>
    </row>
    <row r="5" spans="1:11" s="20" customFormat="1" ht="12.75">
      <c r="A5" s="22" t="s">
        <v>161</v>
      </c>
      <c r="B5" s="100">
        <v>10</v>
      </c>
      <c r="C5" s="100">
        <v>60000</v>
      </c>
      <c r="D5" s="100"/>
      <c r="E5" s="100"/>
      <c r="F5" s="100"/>
      <c r="G5" s="100"/>
      <c r="J5" s="20">
        <v>10</v>
      </c>
      <c r="K5" s="20">
        <v>40000</v>
      </c>
    </row>
    <row r="6" spans="1:12" s="20" customFormat="1" ht="12.75">
      <c r="A6" s="3"/>
      <c r="B6" s="100">
        <f>SUM(B4:B5)</f>
        <v>210</v>
      </c>
      <c r="C6" s="100">
        <f>C5/4</f>
        <v>15000</v>
      </c>
      <c r="D6" s="100"/>
      <c r="E6" s="100">
        <f>B5*C4</f>
        <v>400000</v>
      </c>
      <c r="F6" s="100">
        <f>E6</f>
        <v>400000</v>
      </c>
      <c r="G6" s="100">
        <f>F6</f>
        <v>400000</v>
      </c>
      <c r="K6" s="20">
        <v>60000</v>
      </c>
      <c r="L6" s="20">
        <f>K6/4</f>
        <v>15000</v>
      </c>
    </row>
    <row r="7" spans="1:7" s="20" customFormat="1" ht="12.75">
      <c r="A7" s="3"/>
      <c r="B7" s="100"/>
      <c r="C7" s="100"/>
      <c r="D7" s="100"/>
      <c r="E7" s="100">
        <v>0</v>
      </c>
      <c r="F7" s="100">
        <f>B5*C6</f>
        <v>150000</v>
      </c>
      <c r="G7" s="100">
        <f>F7</f>
        <v>150000</v>
      </c>
    </row>
    <row r="8" spans="1:7" s="20" customFormat="1" ht="12.75">
      <c r="A8" s="3"/>
      <c r="B8" s="100"/>
      <c r="C8" s="100"/>
      <c r="D8" s="100"/>
      <c r="E8" s="100">
        <f>SUM(E6:E7)</f>
        <v>400000</v>
      </c>
      <c r="F8" s="100">
        <f aca="true" t="shared" si="0" ref="F8:G8">SUM(F6:F7)</f>
        <v>550000</v>
      </c>
      <c r="G8" s="100">
        <f t="shared" si="0"/>
        <v>550000</v>
      </c>
    </row>
    <row r="9" spans="1:7" s="20" customFormat="1" ht="12.75">
      <c r="A9" s="3"/>
      <c r="B9" s="100"/>
      <c r="C9" s="100"/>
      <c r="D9" s="100"/>
      <c r="E9" s="100">
        <f>E8*$B$13+E8</f>
        <v>536000</v>
      </c>
      <c r="F9" s="100">
        <f aca="true" t="shared" si="1" ref="F9:G9">F8*$B$13+F8</f>
        <v>737000</v>
      </c>
      <c r="G9" s="100">
        <f t="shared" si="1"/>
        <v>737000</v>
      </c>
    </row>
    <row r="10" spans="1:7" s="20" customFormat="1" ht="12.75">
      <c r="A10" s="3"/>
      <c r="B10" s="100"/>
      <c r="C10" s="100"/>
      <c r="D10" s="100"/>
      <c r="E10" s="100"/>
      <c r="F10" s="100"/>
      <c r="G10" s="100"/>
    </row>
    <row r="11" spans="1:7" s="20" customFormat="1" ht="12.75">
      <c r="A11" s="19" t="s">
        <v>146</v>
      </c>
      <c r="B11" s="100"/>
      <c r="C11" s="100"/>
      <c r="D11" s="100">
        <v>0</v>
      </c>
      <c r="E11" s="100">
        <v>0</v>
      </c>
      <c r="F11" s="100"/>
      <c r="G11" s="100">
        <f>F11</f>
        <v>0</v>
      </c>
    </row>
    <row r="12" spans="1:7" s="20" customFormat="1" ht="12.75">
      <c r="A12" s="19"/>
      <c r="B12" s="100"/>
      <c r="C12" s="100"/>
      <c r="D12" s="100"/>
      <c r="E12" s="100">
        <f>E11*$B$13+E11</f>
        <v>0</v>
      </c>
      <c r="F12" s="100">
        <f>F11*$B$13+F11</f>
        <v>0</v>
      </c>
      <c r="G12" s="100">
        <f>F12</f>
        <v>0</v>
      </c>
    </row>
    <row r="13" spans="1:8" s="20" customFormat="1" ht="12.75">
      <c r="A13" s="22" t="s">
        <v>110</v>
      </c>
      <c r="B13" s="102">
        <v>0.34</v>
      </c>
      <c r="C13" s="100"/>
      <c r="D13" s="100"/>
      <c r="E13" s="100"/>
      <c r="F13" s="100"/>
      <c r="G13" s="100"/>
      <c r="H13" s="100"/>
    </row>
    <row r="14" spans="1:7" s="20" customFormat="1" ht="12.75">
      <c r="A14" s="22" t="s">
        <v>112</v>
      </c>
      <c r="B14" s="100"/>
      <c r="C14" s="100"/>
      <c r="D14" s="100">
        <v>30000000</v>
      </c>
      <c r="E14" s="100">
        <v>30000000</v>
      </c>
      <c r="F14" s="100">
        <v>30000000</v>
      </c>
      <c r="G14" s="100">
        <v>30000000</v>
      </c>
    </row>
    <row r="15" spans="1:8" s="20" customFormat="1" ht="12.75">
      <c r="A15" s="3"/>
      <c r="B15" s="100"/>
      <c r="C15" s="100"/>
      <c r="D15" s="100">
        <f>D9+D11+D14</f>
        <v>30000000</v>
      </c>
      <c r="E15" s="100">
        <f aca="true" t="shared" si="2" ref="E15:G15">E9+E11+E14</f>
        <v>30536000</v>
      </c>
      <c r="F15" s="100">
        <f t="shared" si="2"/>
        <v>30737000</v>
      </c>
      <c r="G15" s="100">
        <f t="shared" si="2"/>
        <v>30737000</v>
      </c>
      <c r="H15" s="100">
        <f>SUM(D15:G15)</f>
        <v>122010000</v>
      </c>
    </row>
    <row r="16" spans="1:7" s="20" customFormat="1" ht="12.75">
      <c r="A16" s="3"/>
      <c r="B16" s="100"/>
      <c r="C16" s="100"/>
      <c r="D16" s="104">
        <v>30000000</v>
      </c>
      <c r="E16" s="104">
        <v>31608000</v>
      </c>
      <c r="F16" s="104">
        <v>31809000</v>
      </c>
      <c r="G16" s="104">
        <v>31809000</v>
      </c>
    </row>
    <row r="17" spans="1:7" s="20" customFormat="1" ht="12.75">
      <c r="A17" s="3"/>
      <c r="B17" s="100"/>
      <c r="C17" s="100"/>
      <c r="D17" s="100"/>
      <c r="E17" s="100"/>
      <c r="F17" s="100"/>
      <c r="G17" s="100"/>
    </row>
    <row r="18" spans="1:7" s="20" customFormat="1" ht="12.75">
      <c r="A18" s="3"/>
      <c r="B18" s="100"/>
      <c r="C18" s="100"/>
      <c r="D18" s="100"/>
      <c r="E18" s="100"/>
      <c r="F18" s="100"/>
      <c r="G18" s="100"/>
    </row>
    <row r="19" spans="1:7" s="20" customFormat="1" ht="12.75">
      <c r="A19" s="19" t="s">
        <v>100</v>
      </c>
      <c r="B19" s="100"/>
      <c r="C19" s="100"/>
      <c r="D19" s="100"/>
      <c r="E19" s="100"/>
      <c r="F19" s="100"/>
      <c r="G19" s="100"/>
    </row>
    <row r="20" spans="1:8" s="20" customFormat="1" ht="12.75">
      <c r="A20" s="22" t="s">
        <v>134</v>
      </c>
      <c r="B20" s="100">
        <v>3000000</v>
      </c>
      <c r="C20" s="102">
        <v>0.2</v>
      </c>
      <c r="D20" s="100">
        <f>($B$20*$C$20+$B$20)/4</f>
        <v>900000</v>
      </c>
      <c r="E20" s="100">
        <f aca="true" t="shared" si="3" ref="E20:G20">($B$20*$C$20+$B$20)/4</f>
        <v>900000</v>
      </c>
      <c r="F20" s="100">
        <f t="shared" si="3"/>
        <v>900000</v>
      </c>
      <c r="G20" s="100">
        <f t="shared" si="3"/>
        <v>900000</v>
      </c>
      <c r="H20" s="100">
        <f>SUM(D20:G20)</f>
        <v>3600000</v>
      </c>
    </row>
    <row r="21" spans="1:7" ht="15">
      <c r="A21" s="22" t="s">
        <v>135</v>
      </c>
      <c r="D21" s="101"/>
      <c r="E21" s="101"/>
      <c r="F21" s="101"/>
      <c r="G21" s="101"/>
    </row>
    <row r="22" spans="4:7" ht="15">
      <c r="D22" s="101"/>
      <c r="E22" s="101"/>
      <c r="F22" s="101"/>
      <c r="G22" s="101"/>
    </row>
    <row r="23" spans="1:7" ht="15">
      <c r="A23" s="19" t="s">
        <v>101</v>
      </c>
      <c r="D23" s="101"/>
      <c r="E23" s="101"/>
      <c r="F23" s="101"/>
      <c r="G23" s="101"/>
    </row>
    <row r="24" spans="1:7" ht="15">
      <c r="A24" s="22" t="s">
        <v>136</v>
      </c>
      <c r="D24" s="101"/>
      <c r="E24" s="101"/>
      <c r="F24" s="101"/>
      <c r="G24" s="101"/>
    </row>
    <row r="25" spans="1:7" ht="15">
      <c r="A25" s="22" t="s">
        <v>115</v>
      </c>
      <c r="C25" s="103">
        <v>0.01</v>
      </c>
      <c r="D25" s="101">
        <f>D16*$C$25</f>
        <v>300000</v>
      </c>
      <c r="E25" s="101">
        <f aca="true" t="shared" si="4" ref="E25:G25">E16*$C$25</f>
        <v>316080</v>
      </c>
      <c r="F25" s="101">
        <f t="shared" si="4"/>
        <v>318090</v>
      </c>
      <c r="G25" s="101">
        <f t="shared" si="4"/>
        <v>318090</v>
      </c>
    </row>
    <row r="26" spans="4:7" ht="15">
      <c r="D26" s="101"/>
      <c r="E26" s="101"/>
      <c r="F26" s="101"/>
      <c r="G26" s="101"/>
    </row>
    <row r="27" spans="1:7" ht="15">
      <c r="A27" s="19" t="s">
        <v>113</v>
      </c>
      <c r="C27" s="101">
        <v>1000</v>
      </c>
      <c r="D27" s="101">
        <f>B4*C27</f>
        <v>200000</v>
      </c>
      <c r="E27" s="101">
        <f>B6*C27</f>
        <v>210000</v>
      </c>
      <c r="F27" s="101">
        <f>E27</f>
        <v>210000</v>
      </c>
      <c r="G27" s="101">
        <f>F27</f>
        <v>210000</v>
      </c>
    </row>
    <row r="28" spans="1:7" ht="15">
      <c r="A28" s="22" t="s">
        <v>162</v>
      </c>
      <c r="D28" s="101"/>
      <c r="E28" s="101"/>
      <c r="F28" s="101"/>
      <c r="G28" s="101"/>
    </row>
    <row r="29" spans="4:7" ht="15">
      <c r="D29" s="101"/>
      <c r="E29" s="101"/>
      <c r="F29" s="101"/>
      <c r="G29" s="101"/>
    </row>
    <row r="30" spans="1:7" ht="15">
      <c r="A30" s="19" t="s">
        <v>102</v>
      </c>
      <c r="D30" s="101"/>
      <c r="E30" s="101"/>
      <c r="F30" s="101"/>
      <c r="G30" s="101"/>
    </row>
    <row r="31" spans="1:7" ht="15">
      <c r="A31" s="22" t="s">
        <v>114</v>
      </c>
      <c r="B31" s="103">
        <v>0.02</v>
      </c>
      <c r="D31" s="103">
        <v>0.1</v>
      </c>
      <c r="E31" s="103">
        <v>0.3</v>
      </c>
      <c r="F31" s="103">
        <v>0.1</v>
      </c>
      <c r="G31" s="103">
        <v>0.5</v>
      </c>
    </row>
    <row r="32" spans="1:7" ht="15">
      <c r="A32" s="22" t="s">
        <v>137</v>
      </c>
      <c r="B32" s="101">
        <f>Výsledovka!B6</f>
        <v>476350000</v>
      </c>
      <c r="D32" s="101">
        <f>$B33*D31</f>
        <v>952700</v>
      </c>
      <c r="E32" s="101">
        <f aca="true" t="shared" si="5" ref="E32:G32">$B33*E31</f>
        <v>2858100</v>
      </c>
      <c r="F32" s="101">
        <f t="shared" si="5"/>
        <v>952700</v>
      </c>
      <c r="G32" s="101">
        <f t="shared" si="5"/>
        <v>4763500</v>
      </c>
    </row>
    <row r="33" spans="2:7" ht="15">
      <c r="B33" s="101">
        <f>B32*B31</f>
        <v>9527000</v>
      </c>
      <c r="D33" s="101"/>
      <c r="E33" s="101"/>
      <c r="F33" s="101"/>
      <c r="G33" s="101"/>
    </row>
    <row r="34" spans="1:7" ht="15">
      <c r="A34" s="19" t="s">
        <v>103</v>
      </c>
      <c r="D34" s="101"/>
      <c r="E34" s="101"/>
      <c r="F34" s="101"/>
      <c r="G34" s="101"/>
    </row>
    <row r="35" spans="1:7" ht="15">
      <c r="A35" s="22" t="s">
        <v>117</v>
      </c>
      <c r="D35" s="101"/>
      <c r="E35" s="101"/>
      <c r="F35" s="101"/>
      <c r="G35" s="101"/>
    </row>
    <row r="36" spans="1:7" ht="15">
      <c r="A36" s="22" t="s">
        <v>116</v>
      </c>
      <c r="B36" s="101">
        <v>3000000</v>
      </c>
      <c r="D36" s="101">
        <f>$B$36/4</f>
        <v>750000</v>
      </c>
      <c r="E36" s="101">
        <f aca="true" t="shared" si="6" ref="E36:G36">$B$36/4</f>
        <v>750000</v>
      </c>
      <c r="F36" s="101">
        <f t="shared" si="6"/>
        <v>750000</v>
      </c>
      <c r="G36" s="101">
        <f t="shared" si="6"/>
        <v>750000</v>
      </c>
    </row>
    <row r="37" spans="4:7" ht="15">
      <c r="D37" s="101"/>
      <c r="E37" s="101"/>
      <c r="F37" s="101"/>
      <c r="G37" s="101"/>
    </row>
    <row r="38" spans="1:7" ht="15">
      <c r="A38" s="19" t="s">
        <v>104</v>
      </c>
      <c r="D38" s="101"/>
      <c r="E38" s="101"/>
      <c r="F38" s="101"/>
      <c r="G38" s="101"/>
    </row>
    <row r="39" spans="1:7" ht="15">
      <c r="A39" s="22" t="s">
        <v>138</v>
      </c>
      <c r="B39" s="101">
        <v>200000</v>
      </c>
      <c r="D39" s="101"/>
      <c r="E39" s="101">
        <v>200000</v>
      </c>
      <c r="F39" s="101"/>
      <c r="G39" s="101"/>
    </row>
    <row r="40" spans="1:7" ht="15">
      <c r="A40" s="22" t="s">
        <v>118</v>
      </c>
      <c r="B40" s="101">
        <v>50000</v>
      </c>
      <c r="D40" s="101">
        <f>B40*3</f>
        <v>150000</v>
      </c>
      <c r="E40" s="101">
        <f>D40</f>
        <v>150000</v>
      </c>
      <c r="F40" s="101">
        <f>E40</f>
        <v>150000</v>
      </c>
      <c r="G40" s="101">
        <f>F40</f>
        <v>150000</v>
      </c>
    </row>
    <row r="41" spans="4:7" ht="15">
      <c r="D41" s="101">
        <f>SUM(D39:D40)</f>
        <v>150000</v>
      </c>
      <c r="E41" s="101">
        <f aca="true" t="shared" si="7" ref="E41:G41">SUM(E39:E40)</f>
        <v>350000</v>
      </c>
      <c r="F41" s="101">
        <f t="shared" si="7"/>
        <v>150000</v>
      </c>
      <c r="G41" s="101">
        <f t="shared" si="7"/>
        <v>150000</v>
      </c>
    </row>
    <row r="42" spans="1:7" ht="15">
      <c r="A42" s="19" t="s">
        <v>105</v>
      </c>
      <c r="D42" s="101"/>
      <c r="E42" s="101"/>
      <c r="F42" s="101"/>
      <c r="G42" s="101"/>
    </row>
    <row r="43" spans="1:7" ht="15">
      <c r="A43" s="21" t="s">
        <v>119</v>
      </c>
      <c r="B43" s="101">
        <v>200000</v>
      </c>
      <c r="D43" s="101">
        <f>B43</f>
        <v>200000</v>
      </c>
      <c r="E43" s="101">
        <f>D43</f>
        <v>200000</v>
      </c>
      <c r="F43" s="101">
        <f aca="true" t="shared" si="8" ref="F43:G43">E43</f>
        <v>200000</v>
      </c>
      <c r="G43" s="101">
        <f t="shared" si="8"/>
        <v>200000</v>
      </c>
    </row>
    <row r="44" spans="4:7" ht="15">
      <c r="D44" s="101"/>
      <c r="E44" s="101"/>
      <c r="F44" s="101"/>
      <c r="G44" s="101"/>
    </row>
    <row r="45" spans="1:7" ht="15">
      <c r="A45" s="19" t="s">
        <v>106</v>
      </c>
      <c r="D45" s="101"/>
      <c r="E45" s="101"/>
      <c r="F45" s="101"/>
      <c r="G45" s="101"/>
    </row>
    <row r="46" spans="1:7" ht="15">
      <c r="A46" s="22" t="s">
        <v>139</v>
      </c>
      <c r="B46" s="101">
        <v>1200000</v>
      </c>
      <c r="D46" s="101">
        <f>B46/4</f>
        <v>300000</v>
      </c>
      <c r="E46" s="101">
        <f>D46</f>
        <v>300000</v>
      </c>
      <c r="F46" s="101">
        <f aca="true" t="shared" si="9" ref="F46:G46">E46</f>
        <v>300000</v>
      </c>
      <c r="G46" s="101">
        <f t="shared" si="9"/>
        <v>300000</v>
      </c>
    </row>
    <row r="47" spans="1:7" ht="15">
      <c r="A47" s="22" t="s">
        <v>148</v>
      </c>
      <c r="B47" s="101">
        <v>200000</v>
      </c>
      <c r="D47" s="101"/>
      <c r="E47" s="101">
        <f>B47/(48)*3</f>
        <v>12500</v>
      </c>
      <c r="F47" s="101">
        <f>E47</f>
        <v>12500</v>
      </c>
      <c r="G47" s="101">
        <f>F47</f>
        <v>12500</v>
      </c>
    </row>
    <row r="48" spans="1:7" ht="15">
      <c r="A48" s="22" t="s">
        <v>120</v>
      </c>
      <c r="B48" s="101">
        <v>200000</v>
      </c>
      <c r="D48" s="101"/>
      <c r="E48" s="101"/>
      <c r="F48" s="101">
        <f>(B48/48)*3</f>
        <v>12500</v>
      </c>
      <c r="G48" s="101">
        <f>F48</f>
        <v>12500</v>
      </c>
    </row>
    <row r="49" spans="2:7" ht="15">
      <c r="B49" s="101">
        <v>100000</v>
      </c>
      <c r="D49" s="101"/>
      <c r="E49" s="101"/>
      <c r="F49" s="101"/>
      <c r="G49" s="101">
        <f>(B49/48)*3</f>
        <v>6250</v>
      </c>
    </row>
    <row r="50" spans="4:7" ht="15">
      <c r="D50" s="101"/>
      <c r="E50" s="101"/>
      <c r="F50" s="101"/>
      <c r="G50" s="101"/>
    </row>
    <row r="51" spans="4:7" ht="15">
      <c r="D51" s="101">
        <f>SUM(D46:D50)</f>
        <v>300000</v>
      </c>
      <c r="E51" s="101">
        <f aca="true" t="shared" si="10" ref="E51:G51">SUM(E46:E50)</f>
        <v>312500</v>
      </c>
      <c r="F51" s="101">
        <f t="shared" si="10"/>
        <v>325000</v>
      </c>
      <c r="G51" s="101">
        <f t="shared" si="10"/>
        <v>331250</v>
      </c>
    </row>
    <row r="52" spans="4:7" ht="15">
      <c r="D52" s="101"/>
      <c r="E52" s="101"/>
      <c r="F52" s="101"/>
      <c r="G52" s="101"/>
    </row>
    <row r="53" spans="4:7" ht="15">
      <c r="D53" s="101"/>
      <c r="E53" s="101"/>
      <c r="F53" s="101"/>
      <c r="G53" s="101"/>
    </row>
    <row r="54" spans="4:7" ht="15">
      <c r="D54" s="101"/>
      <c r="E54" s="101"/>
      <c r="F54" s="101"/>
      <c r="G54" s="101"/>
    </row>
    <row r="55" spans="4:7" ht="15">
      <c r="D55" s="101"/>
      <c r="E55" s="101"/>
      <c r="F55" s="101"/>
      <c r="G55" s="101"/>
    </row>
    <row r="56" spans="4:7" ht="15">
      <c r="D56" s="101"/>
      <c r="E56" s="101"/>
      <c r="F56" s="101"/>
      <c r="G56" s="101"/>
    </row>
    <row r="57" spans="4:7" ht="15">
      <c r="D57" s="101"/>
      <c r="E57" s="101"/>
      <c r="F57" s="101"/>
      <c r="G57" s="101"/>
    </row>
    <row r="58" spans="4:7" ht="15">
      <c r="D58" s="101"/>
      <c r="E58" s="101"/>
      <c r="F58" s="101"/>
      <c r="G58" s="101"/>
    </row>
    <row r="59" spans="4:7" ht="15">
      <c r="D59" s="101"/>
      <c r="E59" s="101"/>
      <c r="F59" s="101"/>
      <c r="G59" s="101"/>
    </row>
    <row r="60" spans="4:7" ht="15">
      <c r="D60" s="101"/>
      <c r="E60" s="101"/>
      <c r="F60" s="101"/>
      <c r="G60" s="101"/>
    </row>
    <row r="61" spans="4:7" ht="15">
      <c r="D61" s="101"/>
      <c r="E61" s="101"/>
      <c r="F61" s="101"/>
      <c r="G61" s="101"/>
    </row>
    <row r="62" spans="4:7" ht="15">
      <c r="D62" s="101"/>
      <c r="E62" s="101"/>
      <c r="F62" s="101"/>
      <c r="G62" s="101"/>
    </row>
    <row r="63" spans="4:7" ht="15">
      <c r="D63" s="101"/>
      <c r="E63" s="101"/>
      <c r="F63" s="101"/>
      <c r="G63" s="101"/>
    </row>
    <row r="64" spans="4:7" ht="15">
      <c r="D64" s="101"/>
      <c r="E64" s="101"/>
      <c r="F64" s="101"/>
      <c r="G64" s="101"/>
    </row>
    <row r="65" spans="4:7" ht="15">
      <c r="D65" s="101"/>
      <c r="E65" s="101"/>
      <c r="F65" s="101"/>
      <c r="G65" s="101"/>
    </row>
    <row r="66" spans="4:7" ht="15">
      <c r="D66" s="101"/>
      <c r="E66" s="101"/>
      <c r="F66" s="101"/>
      <c r="G66" s="101"/>
    </row>
    <row r="67" spans="4:7" ht="15">
      <c r="D67" s="101"/>
      <c r="E67" s="101"/>
      <c r="F67" s="101"/>
      <c r="G67" s="101"/>
    </row>
    <row r="68" spans="4:7" ht="15">
      <c r="D68" s="101"/>
      <c r="E68" s="101"/>
      <c r="F68" s="101"/>
      <c r="G68" s="101"/>
    </row>
    <row r="69" spans="4:7" ht="15">
      <c r="D69" s="101"/>
      <c r="E69" s="101"/>
      <c r="F69" s="101"/>
      <c r="G69" s="101"/>
    </row>
    <row r="70" spans="4:7" ht="15">
      <c r="D70" s="101"/>
      <c r="E70" s="101"/>
      <c r="F70" s="101"/>
      <c r="G70" s="101"/>
    </row>
    <row r="71" spans="4:7" ht="15">
      <c r="D71" s="101"/>
      <c r="E71" s="101"/>
      <c r="F71" s="101"/>
      <c r="G71" s="101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3DD5-7DEF-42BB-8F7C-8D398D219A44}">
  <dimension ref="B1:C18"/>
  <sheetViews>
    <sheetView tabSelected="1" workbookViewId="0" topLeftCell="A1">
      <selection activeCell="B17" sqref="B17"/>
    </sheetView>
  </sheetViews>
  <sheetFormatPr defaultColWidth="9.140625" defaultRowHeight="15"/>
  <cols>
    <col min="2" max="2" width="13.421875" style="0" customWidth="1"/>
  </cols>
  <sheetData>
    <row r="1" ht="15">
      <c r="B1" s="50"/>
    </row>
    <row r="2" ht="15">
      <c r="B2" s="50"/>
    </row>
    <row r="3" ht="15">
      <c r="B3" s="50"/>
    </row>
    <row r="4" ht="15">
      <c r="B4" s="50">
        <f>1000</f>
        <v>1000</v>
      </c>
    </row>
    <row r="5" ht="15">
      <c r="B5" s="50">
        <v>-800</v>
      </c>
    </row>
    <row r="6" ht="15">
      <c r="B6" s="50">
        <f>SUM(B4:B5)</f>
        <v>200</v>
      </c>
    </row>
    <row r="7" ht="15">
      <c r="B7" s="50">
        <f>B6*0.2</f>
        <v>40</v>
      </c>
    </row>
    <row r="8" ht="15">
      <c r="B8" s="50">
        <f>B6-B7</f>
        <v>160</v>
      </c>
    </row>
    <row r="9" ht="15">
      <c r="B9" s="50"/>
    </row>
    <row r="10" ht="15">
      <c r="B10" s="50">
        <v>50</v>
      </c>
    </row>
    <row r="11" ht="15">
      <c r="B11" s="50">
        <v>50</v>
      </c>
    </row>
    <row r="12" ht="15">
      <c r="B12" s="50"/>
    </row>
    <row r="13" spans="2:3" ht="15">
      <c r="B13" s="50">
        <f>B6+B10+B11</f>
        <v>300</v>
      </c>
      <c r="C13" t="s">
        <v>163</v>
      </c>
    </row>
    <row r="14" ht="15">
      <c r="B14" s="50"/>
    </row>
    <row r="15" ht="15">
      <c r="B15" s="50"/>
    </row>
    <row r="16" ht="15">
      <c r="B16" s="50">
        <f>160</f>
        <v>160</v>
      </c>
    </row>
    <row r="17" ht="15">
      <c r="B17" s="50"/>
    </row>
    <row r="18" ht="15">
      <c r="B18" s="50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Chmelikova, Jitka</dc:creator>
  <cp:keywords/>
  <dc:description/>
  <cp:lastModifiedBy>Administrator</cp:lastModifiedBy>
  <dcterms:created xsi:type="dcterms:W3CDTF">2014-05-14T19:13:02Z</dcterms:created>
  <dcterms:modified xsi:type="dcterms:W3CDTF">2017-12-01T14:47:04Z</dcterms:modified>
  <cp:category/>
  <cp:version/>
  <cp:contentType/>
  <cp:contentStatus/>
</cp:coreProperties>
</file>