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15" windowWidth="28800" windowHeight="17460" tabRatio="954"/>
  </bookViews>
  <sheets>
    <sheet name=" 2022" sheetId="65" r:id="rId1"/>
    <sheet name="PLAN 2018" sheetId="14" r:id="rId2"/>
    <sheet name="Výrobky" sheetId="49" r:id="rId3"/>
    <sheet name="Služby" sheetId="52" r:id="rId4"/>
    <sheet name="Zboží zahr" sheetId="51" r:id="rId5"/>
    <sheet name="Zbozi tuz" sheetId="53" r:id="rId6"/>
    <sheet name="Najem" sheetId="54" r:id="rId7"/>
    <sheet name="investice" sheetId="41" r:id="rId8"/>
    <sheet name="osobni" sheetId="25" r:id="rId9"/>
    <sheet name="auta" sheetId="40" r:id="rId10"/>
    <sheet name="odb. sluzby" sheetId="78" r:id="rId11"/>
    <sheet name="IT" sheetId="79" r:id="rId12"/>
    <sheet name="Marketing" sheetId="80" r:id="rId13"/>
    <sheet name="a" sheetId="23" r:id="rId14"/>
    <sheet name="Vedeni" sheetId="66" r:id="rId15"/>
    <sheet name="Kvalita" sheetId="63" r:id="rId16"/>
    <sheet name="areal1" sheetId="55" r:id="rId17"/>
    <sheet name="Admin" sheetId="57" r:id="rId18"/>
    <sheet name="Obchod" sheetId="59" r:id="rId19"/>
    <sheet name="Nakup" sheetId="58" r:id="rId20"/>
    <sheet name="Vyroba" sheetId="60" r:id="rId21"/>
    <sheet name="Opravy a repasy" sheetId="74" r:id="rId22"/>
    <sheet name="Vyvoj" sheetId="61" r:id="rId23"/>
    <sheet name="Konstrukce" sheetId="62" r:id="rId24"/>
    <sheet name="Ext. montaze" sheetId="68" r:id="rId25"/>
    <sheet name="Skoleni" sheetId="69" r:id="rId26"/>
    <sheet name="b" sheetId="39" r:id="rId27"/>
    <sheet name="seznam stredisek" sheetId="75" r:id="rId28"/>
  </sheets>
  <externalReferences>
    <externalReference r:id="rId29"/>
  </externalReferences>
  <definedNames>
    <definedName name="_xlnm._FilterDatabase" localSheetId="9" hidden="1">auta!$A$5:$DK$71</definedName>
    <definedName name="_xlnm._FilterDatabase" localSheetId="8" hidden="1">osobni!$H$5:$M$43</definedName>
    <definedName name="CalcDirections" localSheetId="13">#REF!</definedName>
    <definedName name="CalcDirections" localSheetId="9">#REF!</definedName>
    <definedName name="CalcDirections" localSheetId="26">#REF!</definedName>
    <definedName name="CalcDirections" localSheetId="7">#REF!</definedName>
    <definedName name="CalcDirections" localSheetId="11">#REF!</definedName>
    <definedName name="CalcDirections" localSheetId="12">#REF!</definedName>
    <definedName name="CalcDirections" localSheetId="6">#REF!</definedName>
    <definedName name="CalcDirections" localSheetId="10">#REF!</definedName>
    <definedName name="CalcDirections" localSheetId="3">#REF!</definedName>
    <definedName name="CalcDirections" localSheetId="2">#REF!</definedName>
    <definedName name="CalcDirections" localSheetId="5">#REF!</definedName>
    <definedName name="CalcDirections" localSheetId="4">#REF!</definedName>
    <definedName name="_xlnm.Print_Titles" localSheetId="9">auta!$1:$5</definedName>
    <definedName name="_xlnm.Print_Titles" localSheetId="8">osobni!$1:$5</definedName>
    <definedName name="_xlnm.Print_Area" localSheetId="9">auta!$A$1:$EM$9</definedName>
    <definedName name="_xlnm.Print_Area" localSheetId="7">investice!$A$1:$AG$9</definedName>
    <definedName name="_xlnm.Print_Area" localSheetId="11">IT!$A$1:$AE$14</definedName>
    <definedName name="_xlnm.Print_Area" localSheetId="12">Marketing!$A$1:$AF$14</definedName>
    <definedName name="_xlnm.Print_Area" localSheetId="6">Najem!$A$1:$AG$24</definedName>
    <definedName name="_xlnm.Print_Area" localSheetId="8">osobni!$B$1:$DO$29</definedName>
    <definedName name="_xlnm.Print_Area" localSheetId="1">'PLAN 2018'!$A$1:$AG$76</definedName>
    <definedName name="_xlnm.Print_Area" localSheetId="27">'seznam stredisek'!$A$1:$D$29</definedName>
    <definedName name="_xlnm.Print_Area" localSheetId="3">Služby!$B$1:$AG$36</definedName>
    <definedName name="_xlnm.Print_Area" localSheetId="2">Výrobky!$B$1:$AG$48</definedName>
    <definedName name="_xlnm.Print_Area" localSheetId="5">'Zbozi tuz'!$A$1:$AG$20</definedName>
    <definedName name="_xlnm.Print_Area" localSheetId="4">'Zboží zahr'!$A$1:$AG$29</definedName>
    <definedName name="SetUpDirections" localSheetId="13">#REF!</definedName>
    <definedName name="SetUpDirections" localSheetId="9">#REF!</definedName>
    <definedName name="SetUpDirections" localSheetId="26">#REF!</definedName>
    <definedName name="SetUpDirections" localSheetId="7">#REF!</definedName>
    <definedName name="SetUpDirections" localSheetId="11">#REF!</definedName>
    <definedName name="SetUpDirections" localSheetId="12">#REF!</definedName>
    <definedName name="SetUpDirections" localSheetId="6">#REF!</definedName>
    <definedName name="SetUpDirections" localSheetId="10">#REF!</definedName>
    <definedName name="SetUpDirections" localSheetId="3">#REF!</definedName>
    <definedName name="SetUpDirections" localSheetId="2">#REF!</definedName>
    <definedName name="SetUpDirections" localSheetId="5">#REF!</definedName>
    <definedName name="SetUpDirections" localSheetId="4">#REF!</definedName>
    <definedName name="table" localSheetId="13">#REF!</definedName>
    <definedName name="table" localSheetId="9">#REF!</definedName>
    <definedName name="table" localSheetId="26">#REF!</definedName>
    <definedName name="table" localSheetId="7">#REF!</definedName>
    <definedName name="table" localSheetId="11">#REF!</definedName>
    <definedName name="table" localSheetId="12">#REF!</definedName>
    <definedName name="table" localSheetId="6">#REF!</definedName>
    <definedName name="table" localSheetId="10">#REF!</definedName>
    <definedName name="table" localSheetId="3">#REF!</definedName>
    <definedName name="table" localSheetId="2">#REF!</definedName>
    <definedName name="table" localSheetId="5">#REF!</definedName>
    <definedName name="table" localSheetId="4">#REF!</definedName>
  </definedNames>
  <calcPr calcId="15251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9" i="65" l="1"/>
  <c r="C187" i="65"/>
  <c r="D186" i="65"/>
  <c r="E186" i="65"/>
  <c r="F186" i="65"/>
  <c r="G186" i="65"/>
  <c r="H186" i="65"/>
  <c r="I186" i="65"/>
  <c r="J186" i="65"/>
  <c r="K186" i="65"/>
  <c r="C186" i="65"/>
  <c r="D185" i="65"/>
  <c r="E185" i="65"/>
  <c r="F185" i="65"/>
  <c r="G185" i="65"/>
  <c r="H185" i="65"/>
  <c r="I185" i="65"/>
  <c r="J185" i="65"/>
  <c r="K185" i="65"/>
  <c r="C185" i="65"/>
  <c r="D192" i="65"/>
  <c r="E192" i="65"/>
  <c r="F192" i="65"/>
  <c r="G192" i="65"/>
  <c r="H192" i="65"/>
  <c r="I192" i="65"/>
  <c r="J192" i="65"/>
  <c r="K192" i="65"/>
  <c r="C192" i="65"/>
  <c r="D183" i="65"/>
  <c r="E183" i="65"/>
  <c r="F183" i="65"/>
  <c r="G183" i="65"/>
  <c r="H183" i="65"/>
  <c r="I183" i="65"/>
  <c r="J183" i="65"/>
  <c r="K183" i="65"/>
  <c r="C183" i="65"/>
  <c r="D182" i="65"/>
  <c r="E182" i="65"/>
  <c r="F182" i="65"/>
  <c r="G182" i="65"/>
  <c r="H182" i="65"/>
  <c r="I182" i="65"/>
  <c r="J182" i="65"/>
  <c r="K182" i="65"/>
  <c r="C182" i="65"/>
  <c r="D181" i="65"/>
  <c r="E181" i="65"/>
  <c r="F181" i="65"/>
  <c r="G181" i="65"/>
  <c r="H181" i="65"/>
  <c r="I181" i="65"/>
  <c r="J181" i="65"/>
  <c r="K181" i="65"/>
  <c r="C181" i="65"/>
  <c r="D180" i="65"/>
  <c r="E180" i="65"/>
  <c r="F180" i="65"/>
  <c r="G180" i="65"/>
  <c r="H180" i="65"/>
  <c r="I180" i="65"/>
  <c r="J180" i="65"/>
  <c r="K180" i="65"/>
  <c r="C180" i="65"/>
  <c r="D179" i="65"/>
  <c r="E179" i="65"/>
  <c r="F179" i="65"/>
  <c r="G179" i="65"/>
  <c r="H179" i="65"/>
  <c r="I179" i="65"/>
  <c r="J179" i="65"/>
  <c r="K179" i="65"/>
  <c r="C179" i="65"/>
  <c r="D178" i="65"/>
  <c r="E178" i="65"/>
  <c r="F178" i="65"/>
  <c r="G178" i="65"/>
  <c r="H178" i="65"/>
  <c r="I178" i="65"/>
  <c r="J178" i="65"/>
  <c r="K178" i="65"/>
  <c r="C178" i="65"/>
  <c r="D177" i="65"/>
  <c r="E177" i="65"/>
  <c r="F177" i="65"/>
  <c r="G177" i="65"/>
  <c r="H177" i="65"/>
  <c r="I177" i="65"/>
  <c r="J177" i="65"/>
  <c r="K177" i="65"/>
  <c r="C177" i="65"/>
  <c r="D74" i="65"/>
  <c r="E74" i="65"/>
  <c r="F74" i="65"/>
  <c r="G74" i="65"/>
  <c r="H74" i="65"/>
  <c r="I74" i="65"/>
  <c r="J74" i="65"/>
  <c r="K74" i="65"/>
  <c r="L74" i="65"/>
  <c r="M74" i="65"/>
  <c r="N74" i="65"/>
  <c r="O74" i="65"/>
  <c r="P74" i="65"/>
  <c r="Q74" i="65"/>
  <c r="R74" i="65"/>
  <c r="S74" i="65"/>
  <c r="T74" i="65"/>
  <c r="U74" i="65"/>
  <c r="V74" i="65"/>
  <c r="W74" i="65"/>
  <c r="X74" i="65"/>
  <c r="Y74" i="65"/>
  <c r="Z74" i="65"/>
  <c r="AA74" i="65"/>
  <c r="AB74" i="65"/>
  <c r="AC74" i="65"/>
  <c r="AD74" i="65"/>
  <c r="AE74" i="65"/>
  <c r="AF74" i="65"/>
  <c r="AG74" i="65"/>
  <c r="D60" i="65"/>
  <c r="E60" i="65"/>
  <c r="F60" i="65"/>
  <c r="G60" i="65"/>
  <c r="H60" i="65"/>
  <c r="I60" i="65"/>
  <c r="J60" i="65"/>
  <c r="K60" i="65"/>
  <c r="L60" i="65"/>
  <c r="C60" i="65"/>
  <c r="D50" i="65"/>
  <c r="E50" i="65"/>
  <c r="F50" i="65"/>
  <c r="G50" i="65"/>
  <c r="H50" i="65"/>
  <c r="I50" i="65"/>
  <c r="J50" i="65"/>
  <c r="K50" i="65"/>
  <c r="L50" i="65"/>
  <c r="C50" i="65"/>
  <c r="L42" i="65"/>
  <c r="D42" i="65"/>
  <c r="E42" i="65"/>
  <c r="F42" i="65"/>
  <c r="G42" i="65"/>
  <c r="H42" i="65"/>
  <c r="I42" i="65"/>
  <c r="J42" i="65"/>
  <c r="K42" i="65"/>
  <c r="C42" i="65"/>
  <c r="D26" i="65"/>
  <c r="E26" i="65"/>
  <c r="F26" i="65"/>
  <c r="G26" i="65"/>
  <c r="H26" i="65"/>
  <c r="I26" i="65"/>
  <c r="J26" i="65"/>
  <c r="K26" i="65"/>
  <c r="L26" i="65"/>
  <c r="C26" i="65"/>
  <c r="D20" i="65"/>
  <c r="E20" i="65"/>
  <c r="F20" i="65"/>
  <c r="G20" i="65"/>
  <c r="H20" i="65"/>
  <c r="I20" i="65"/>
  <c r="J20" i="65"/>
  <c r="K20" i="65"/>
  <c r="L20" i="65"/>
  <c r="D19" i="65"/>
  <c r="E19" i="65"/>
  <c r="F19" i="65"/>
  <c r="G19" i="65"/>
  <c r="H19" i="65"/>
  <c r="I19" i="65"/>
  <c r="J19" i="65"/>
  <c r="K19" i="65"/>
  <c r="L19" i="65"/>
  <c r="C20" i="65"/>
  <c r="C19" i="65"/>
  <c r="W6" i="25"/>
  <c r="AK6" i="25"/>
  <c r="BM6" i="25"/>
  <c r="CA6" i="25"/>
  <c r="EE6" i="25"/>
  <c r="EE32" i="25"/>
  <c r="U53" i="66"/>
  <c r="EE33" i="25"/>
  <c r="U53" i="63"/>
  <c r="EE34" i="25"/>
  <c r="U53" i="55"/>
  <c r="W7" i="25"/>
  <c r="AK7" i="25"/>
  <c r="BM7" i="25"/>
  <c r="CA7" i="25"/>
  <c r="EE7" i="25"/>
  <c r="W8" i="25"/>
  <c r="AK8" i="25"/>
  <c r="AY8" i="25"/>
  <c r="BM8" i="25"/>
  <c r="CA8" i="25"/>
  <c r="EE8" i="25"/>
  <c r="EE35" i="25"/>
  <c r="U53" i="57"/>
  <c r="W9" i="25"/>
  <c r="AK9" i="25"/>
  <c r="AY9" i="25"/>
  <c r="BM9" i="25"/>
  <c r="CA9" i="25"/>
  <c r="EE9" i="25"/>
  <c r="EE36" i="25"/>
  <c r="U53" i="59"/>
  <c r="W10" i="25"/>
  <c r="AK10" i="25"/>
  <c r="AY10" i="25"/>
  <c r="BM10" i="25"/>
  <c r="CA10" i="25"/>
  <c r="EE10" i="25"/>
  <c r="W11" i="25"/>
  <c r="AK11" i="25"/>
  <c r="AY11" i="25"/>
  <c r="BM11" i="25"/>
  <c r="CA11" i="25"/>
  <c r="EE11" i="25"/>
  <c r="EE37" i="25"/>
  <c r="U53" i="58"/>
  <c r="W12" i="25"/>
  <c r="AK12" i="25"/>
  <c r="AY12" i="25"/>
  <c r="BM12" i="25"/>
  <c r="CA12" i="25"/>
  <c r="EE12" i="25"/>
  <c r="W13" i="25"/>
  <c r="AK13" i="25"/>
  <c r="AY13" i="25"/>
  <c r="BM13" i="25"/>
  <c r="CA13" i="25"/>
  <c r="EE13" i="25"/>
  <c r="W14" i="25"/>
  <c r="AK14" i="25"/>
  <c r="AY14" i="25"/>
  <c r="BM14" i="25"/>
  <c r="CA14" i="25"/>
  <c r="EE14" i="25"/>
  <c r="W15" i="25"/>
  <c r="AK15" i="25"/>
  <c r="AY15" i="25"/>
  <c r="BM15" i="25"/>
  <c r="CA15" i="25"/>
  <c r="EE15" i="25"/>
  <c r="W16" i="25"/>
  <c r="AK16" i="25"/>
  <c r="AY16" i="25"/>
  <c r="BM16" i="25"/>
  <c r="CA16" i="25"/>
  <c r="EE16" i="25"/>
  <c r="W17" i="25"/>
  <c r="AK17" i="25"/>
  <c r="AY17" i="25"/>
  <c r="BM17" i="25"/>
  <c r="CA17" i="25"/>
  <c r="EE17" i="25"/>
  <c r="P18" i="25"/>
  <c r="W18" i="25"/>
  <c r="AK18" i="25"/>
  <c r="AY18" i="25"/>
  <c r="BM18" i="25"/>
  <c r="CA18" i="25"/>
  <c r="EE18" i="25"/>
  <c r="P19" i="25"/>
  <c r="W19" i="25"/>
  <c r="AK19" i="25"/>
  <c r="AY19" i="25"/>
  <c r="BM19" i="25"/>
  <c r="CA19" i="25"/>
  <c r="EE19" i="25"/>
  <c r="P20" i="25"/>
  <c r="W20" i="25"/>
  <c r="AK20" i="25"/>
  <c r="AY20" i="25"/>
  <c r="BM20" i="25"/>
  <c r="CA20" i="25"/>
  <c r="EE20" i="25"/>
  <c r="P21" i="25"/>
  <c r="W21" i="25"/>
  <c r="AK21" i="25"/>
  <c r="AY21" i="25"/>
  <c r="BM21" i="25"/>
  <c r="CA21" i="25"/>
  <c r="EE21" i="25"/>
  <c r="P22" i="25"/>
  <c r="W22" i="25"/>
  <c r="AK22" i="25"/>
  <c r="AY22" i="25"/>
  <c r="BM22" i="25"/>
  <c r="CA22" i="25"/>
  <c r="EE22" i="25"/>
  <c r="P23" i="25"/>
  <c r="W23" i="25"/>
  <c r="AK23" i="25"/>
  <c r="AY23" i="25"/>
  <c r="BM23" i="25"/>
  <c r="CA23" i="25"/>
  <c r="EE23" i="25"/>
  <c r="P24" i="25"/>
  <c r="W24" i="25"/>
  <c r="AK24" i="25"/>
  <c r="AY24" i="25"/>
  <c r="BM24" i="25"/>
  <c r="CA24" i="25"/>
  <c r="EE24" i="25"/>
  <c r="P25" i="25"/>
  <c r="W25" i="25"/>
  <c r="AK25" i="25"/>
  <c r="AY25" i="25"/>
  <c r="BM25" i="25"/>
  <c r="CA25" i="25"/>
  <c r="EE25" i="25"/>
  <c r="P26" i="25"/>
  <c r="W26" i="25"/>
  <c r="AK26" i="25"/>
  <c r="AY26" i="25"/>
  <c r="BM26" i="25"/>
  <c r="CA26" i="25"/>
  <c r="EE26" i="25"/>
  <c r="P27" i="25"/>
  <c r="W27" i="25"/>
  <c r="AK27" i="25"/>
  <c r="AY27" i="25"/>
  <c r="BM27" i="25"/>
  <c r="CA27" i="25"/>
  <c r="EE27" i="25"/>
  <c r="P28" i="25"/>
  <c r="W28" i="25"/>
  <c r="AK28" i="25"/>
  <c r="AY28" i="25"/>
  <c r="BM28" i="25"/>
  <c r="CA28" i="25"/>
  <c r="EE28" i="25"/>
  <c r="P29" i="25"/>
  <c r="W29" i="25"/>
  <c r="AK29" i="25"/>
  <c r="AY29" i="25"/>
  <c r="BM29" i="25"/>
  <c r="CA29" i="25"/>
  <c r="EE29" i="25"/>
  <c r="EE38" i="25"/>
  <c r="EE46" i="25"/>
  <c r="U12" i="60"/>
  <c r="U53" i="60"/>
  <c r="EE40" i="25"/>
  <c r="U53" i="61"/>
  <c r="EE41" i="25"/>
  <c r="U53" i="62"/>
  <c r="U53" i="14"/>
  <c r="X6" i="25"/>
  <c r="AL6" i="25"/>
  <c r="BN6" i="25"/>
  <c r="CB6" i="25"/>
  <c r="EF6" i="25"/>
  <c r="EF32" i="25"/>
  <c r="V53" i="66"/>
  <c r="EF33" i="25"/>
  <c r="V53" i="63"/>
  <c r="EF34" i="25"/>
  <c r="V53" i="55"/>
  <c r="X7" i="25"/>
  <c r="AL7" i="25"/>
  <c r="BN7" i="25"/>
  <c r="CB7" i="25"/>
  <c r="EF7" i="25"/>
  <c r="X8" i="25"/>
  <c r="AL8" i="25"/>
  <c r="AZ8" i="25"/>
  <c r="BN8" i="25"/>
  <c r="CB8" i="25"/>
  <c r="EF8" i="25"/>
  <c r="EF35" i="25"/>
  <c r="V53" i="57"/>
  <c r="X9" i="25"/>
  <c r="AL9" i="25"/>
  <c r="AZ9" i="25"/>
  <c r="BN9" i="25"/>
  <c r="CB9" i="25"/>
  <c r="EF9" i="25"/>
  <c r="EF36" i="25"/>
  <c r="V53" i="59"/>
  <c r="X10" i="25"/>
  <c r="AL10" i="25"/>
  <c r="AZ10" i="25"/>
  <c r="BN10" i="25"/>
  <c r="CB10" i="25"/>
  <c r="EF10" i="25"/>
  <c r="X11" i="25"/>
  <c r="AL11" i="25"/>
  <c r="AZ11" i="25"/>
  <c r="BN11" i="25"/>
  <c r="CB11" i="25"/>
  <c r="EF11" i="25"/>
  <c r="EF37" i="25"/>
  <c r="V53" i="58"/>
  <c r="X12" i="25"/>
  <c r="AL12" i="25"/>
  <c r="AZ12" i="25"/>
  <c r="BN12" i="25"/>
  <c r="CB12" i="25"/>
  <c r="EF12" i="25"/>
  <c r="X13" i="25"/>
  <c r="AL13" i="25"/>
  <c r="AZ13" i="25"/>
  <c r="BN13" i="25"/>
  <c r="CB13" i="25"/>
  <c r="EF13" i="25"/>
  <c r="X14" i="25"/>
  <c r="AL14" i="25"/>
  <c r="AZ14" i="25"/>
  <c r="BN14" i="25"/>
  <c r="CB14" i="25"/>
  <c r="EF14" i="25"/>
  <c r="X15" i="25"/>
  <c r="AL15" i="25"/>
  <c r="AZ15" i="25"/>
  <c r="BN15" i="25"/>
  <c r="CB15" i="25"/>
  <c r="EF15" i="25"/>
  <c r="X16" i="25"/>
  <c r="AL16" i="25"/>
  <c r="AZ16" i="25"/>
  <c r="BN16" i="25"/>
  <c r="CB16" i="25"/>
  <c r="EF16" i="25"/>
  <c r="X17" i="25"/>
  <c r="AL17" i="25"/>
  <c r="AZ17" i="25"/>
  <c r="BN17" i="25"/>
  <c r="CB17" i="25"/>
  <c r="EF17" i="25"/>
  <c r="X18" i="25"/>
  <c r="AL18" i="25"/>
  <c r="AZ18" i="25"/>
  <c r="BN18" i="25"/>
  <c r="CB18" i="25"/>
  <c r="EF18" i="25"/>
  <c r="X19" i="25"/>
  <c r="AL19" i="25"/>
  <c r="AZ19" i="25"/>
  <c r="BN19" i="25"/>
  <c r="CB19" i="25"/>
  <c r="EF19" i="25"/>
  <c r="X20" i="25"/>
  <c r="AL20" i="25"/>
  <c r="AZ20" i="25"/>
  <c r="BN20" i="25"/>
  <c r="CB20" i="25"/>
  <c r="EF20" i="25"/>
  <c r="X21" i="25"/>
  <c r="AL21" i="25"/>
  <c r="AZ21" i="25"/>
  <c r="BN21" i="25"/>
  <c r="CB21" i="25"/>
  <c r="EF21" i="25"/>
  <c r="X22" i="25"/>
  <c r="AL22" i="25"/>
  <c r="AZ22" i="25"/>
  <c r="BN22" i="25"/>
  <c r="CB22" i="25"/>
  <c r="EF22" i="25"/>
  <c r="X23" i="25"/>
  <c r="AL23" i="25"/>
  <c r="AZ23" i="25"/>
  <c r="BN23" i="25"/>
  <c r="CB23" i="25"/>
  <c r="EF23" i="25"/>
  <c r="X24" i="25"/>
  <c r="AL24" i="25"/>
  <c r="AZ24" i="25"/>
  <c r="BN24" i="25"/>
  <c r="CB24" i="25"/>
  <c r="EF24" i="25"/>
  <c r="X25" i="25"/>
  <c r="AL25" i="25"/>
  <c r="AZ25" i="25"/>
  <c r="BN25" i="25"/>
  <c r="CB25" i="25"/>
  <c r="EF25" i="25"/>
  <c r="X26" i="25"/>
  <c r="AL26" i="25"/>
  <c r="AZ26" i="25"/>
  <c r="BN26" i="25"/>
  <c r="CB26" i="25"/>
  <c r="EF26" i="25"/>
  <c r="X27" i="25"/>
  <c r="AL27" i="25"/>
  <c r="AZ27" i="25"/>
  <c r="BN27" i="25"/>
  <c r="CB27" i="25"/>
  <c r="EF27" i="25"/>
  <c r="X28" i="25"/>
  <c r="AL28" i="25"/>
  <c r="AZ28" i="25"/>
  <c r="BN28" i="25"/>
  <c r="CB28" i="25"/>
  <c r="EF28" i="25"/>
  <c r="X29" i="25"/>
  <c r="AL29" i="25"/>
  <c r="AZ29" i="25"/>
  <c r="BN29" i="25"/>
  <c r="CB29" i="25"/>
  <c r="EF29" i="25"/>
  <c r="EF38" i="25"/>
  <c r="EF46" i="25"/>
  <c r="V12" i="60"/>
  <c r="V53" i="60"/>
  <c r="EF40" i="25"/>
  <c r="V53" i="61"/>
  <c r="EF41" i="25"/>
  <c r="V53" i="62"/>
  <c r="V53" i="14"/>
  <c r="Y6" i="25"/>
  <c r="AM6" i="25"/>
  <c r="BO6" i="25"/>
  <c r="CC6" i="25"/>
  <c r="EG6" i="25"/>
  <c r="EG32" i="25"/>
  <c r="W53" i="66"/>
  <c r="EG33" i="25"/>
  <c r="W53" i="63"/>
  <c r="EG34" i="25"/>
  <c r="W53" i="55"/>
  <c r="Y7" i="25"/>
  <c r="AM7" i="25"/>
  <c r="BO7" i="25"/>
  <c r="CC7" i="25"/>
  <c r="EG7" i="25"/>
  <c r="Y8" i="25"/>
  <c r="AM8" i="25"/>
  <c r="BA8" i="25"/>
  <c r="BO8" i="25"/>
  <c r="CC8" i="25"/>
  <c r="EG8" i="25"/>
  <c r="EG35" i="25"/>
  <c r="W53" i="57"/>
  <c r="Y9" i="25"/>
  <c r="AM9" i="25"/>
  <c r="BA9" i="25"/>
  <c r="BO9" i="25"/>
  <c r="CC9" i="25"/>
  <c r="EG9" i="25"/>
  <c r="EG36" i="25"/>
  <c r="W53" i="59"/>
  <c r="Y10" i="25"/>
  <c r="AM10" i="25"/>
  <c r="BA10" i="25"/>
  <c r="BO10" i="25"/>
  <c r="CC10" i="25"/>
  <c r="EG10" i="25"/>
  <c r="Y11" i="25"/>
  <c r="AM11" i="25"/>
  <c r="BA11" i="25"/>
  <c r="BO11" i="25"/>
  <c r="CC11" i="25"/>
  <c r="EG11" i="25"/>
  <c r="EG37" i="25"/>
  <c r="W53" i="58"/>
  <c r="Y12" i="25"/>
  <c r="AM12" i="25"/>
  <c r="BA12" i="25"/>
  <c r="BO12" i="25"/>
  <c r="CC12" i="25"/>
  <c r="EG12" i="25"/>
  <c r="Y13" i="25"/>
  <c r="AM13" i="25"/>
  <c r="BA13" i="25"/>
  <c r="BO13" i="25"/>
  <c r="CC13" i="25"/>
  <c r="EG13" i="25"/>
  <c r="Y14" i="25"/>
  <c r="AM14" i="25"/>
  <c r="BA14" i="25"/>
  <c r="BO14" i="25"/>
  <c r="CC14" i="25"/>
  <c r="EG14" i="25"/>
  <c r="Y15" i="25"/>
  <c r="AM15" i="25"/>
  <c r="BA15" i="25"/>
  <c r="BO15" i="25"/>
  <c r="CC15" i="25"/>
  <c r="EG15" i="25"/>
  <c r="Y16" i="25"/>
  <c r="AM16" i="25"/>
  <c r="BA16" i="25"/>
  <c r="BO16" i="25"/>
  <c r="CC16" i="25"/>
  <c r="EG16" i="25"/>
  <c r="Y17" i="25"/>
  <c r="AM17" i="25"/>
  <c r="BA17" i="25"/>
  <c r="BO17" i="25"/>
  <c r="CC17" i="25"/>
  <c r="EG17" i="25"/>
  <c r="Y18" i="25"/>
  <c r="AM18" i="25"/>
  <c r="BA18" i="25"/>
  <c r="BO18" i="25"/>
  <c r="CC18" i="25"/>
  <c r="EG18" i="25"/>
  <c r="Y19" i="25"/>
  <c r="AM19" i="25"/>
  <c r="BA19" i="25"/>
  <c r="BO19" i="25"/>
  <c r="CC19" i="25"/>
  <c r="EG19" i="25"/>
  <c r="Y20" i="25"/>
  <c r="AM20" i="25"/>
  <c r="BA20" i="25"/>
  <c r="BO20" i="25"/>
  <c r="CC20" i="25"/>
  <c r="EG20" i="25"/>
  <c r="Y21" i="25"/>
  <c r="AM21" i="25"/>
  <c r="BA21" i="25"/>
  <c r="BO21" i="25"/>
  <c r="CC21" i="25"/>
  <c r="EG21" i="25"/>
  <c r="Y22" i="25"/>
  <c r="AM22" i="25"/>
  <c r="BA22" i="25"/>
  <c r="BO22" i="25"/>
  <c r="CC22" i="25"/>
  <c r="EG22" i="25"/>
  <c r="Y23" i="25"/>
  <c r="AM23" i="25"/>
  <c r="BA23" i="25"/>
  <c r="BO23" i="25"/>
  <c r="CC23" i="25"/>
  <c r="EG23" i="25"/>
  <c r="Y24" i="25"/>
  <c r="AM24" i="25"/>
  <c r="BA24" i="25"/>
  <c r="BO24" i="25"/>
  <c r="CC24" i="25"/>
  <c r="EG24" i="25"/>
  <c r="Y25" i="25"/>
  <c r="AM25" i="25"/>
  <c r="BA25" i="25"/>
  <c r="BO25" i="25"/>
  <c r="CC25" i="25"/>
  <c r="EG25" i="25"/>
  <c r="Y26" i="25"/>
  <c r="AM26" i="25"/>
  <c r="BA26" i="25"/>
  <c r="BO26" i="25"/>
  <c r="CC26" i="25"/>
  <c r="EG26" i="25"/>
  <c r="Y27" i="25"/>
  <c r="AM27" i="25"/>
  <c r="BA27" i="25"/>
  <c r="BO27" i="25"/>
  <c r="CC27" i="25"/>
  <c r="EG27" i="25"/>
  <c r="Y28" i="25"/>
  <c r="AM28" i="25"/>
  <c r="BA28" i="25"/>
  <c r="BO28" i="25"/>
  <c r="CC28" i="25"/>
  <c r="EG28" i="25"/>
  <c r="Y29" i="25"/>
  <c r="AM29" i="25"/>
  <c r="BA29" i="25"/>
  <c r="BO29" i="25"/>
  <c r="CC29" i="25"/>
  <c r="EG29" i="25"/>
  <c r="EG38" i="25"/>
  <c r="EG46" i="25"/>
  <c r="W12" i="60"/>
  <c r="W53" i="60"/>
  <c r="EG40" i="25"/>
  <c r="W53" i="61"/>
  <c r="EG41" i="25"/>
  <c r="W53" i="62"/>
  <c r="W53" i="14"/>
  <c r="Z6" i="25"/>
  <c r="AN6" i="25"/>
  <c r="BP6" i="25"/>
  <c r="CD6" i="25"/>
  <c r="EH6" i="25"/>
  <c r="EH32" i="25"/>
  <c r="X53" i="66"/>
  <c r="EH33" i="25"/>
  <c r="X53" i="63"/>
  <c r="EH34" i="25"/>
  <c r="X53" i="55"/>
  <c r="Z7" i="25"/>
  <c r="AN7" i="25"/>
  <c r="BP7" i="25"/>
  <c r="CD7" i="25"/>
  <c r="EH7" i="25"/>
  <c r="Z8" i="25"/>
  <c r="AN8" i="25"/>
  <c r="BB8" i="25"/>
  <c r="BP8" i="25"/>
  <c r="CD8" i="25"/>
  <c r="EH8" i="25"/>
  <c r="EH35" i="25"/>
  <c r="X53" i="57"/>
  <c r="Z9" i="25"/>
  <c r="AN9" i="25"/>
  <c r="BB9" i="25"/>
  <c r="BP9" i="25"/>
  <c r="CD9" i="25"/>
  <c r="EH9" i="25"/>
  <c r="EH36" i="25"/>
  <c r="X53" i="59"/>
  <c r="Z10" i="25"/>
  <c r="AN10" i="25"/>
  <c r="BB10" i="25"/>
  <c r="BP10" i="25"/>
  <c r="CD10" i="25"/>
  <c r="EH10" i="25"/>
  <c r="Z11" i="25"/>
  <c r="AN11" i="25"/>
  <c r="BB11" i="25"/>
  <c r="BP11" i="25"/>
  <c r="CD11" i="25"/>
  <c r="EH11" i="25"/>
  <c r="EH37" i="25"/>
  <c r="X53" i="58"/>
  <c r="Z12" i="25"/>
  <c r="AN12" i="25"/>
  <c r="BB12" i="25"/>
  <c r="BP12" i="25"/>
  <c r="CD12" i="25"/>
  <c r="EH12" i="25"/>
  <c r="Z13" i="25"/>
  <c r="AN13" i="25"/>
  <c r="BB13" i="25"/>
  <c r="BP13" i="25"/>
  <c r="CD13" i="25"/>
  <c r="EH13" i="25"/>
  <c r="Z14" i="25"/>
  <c r="AN14" i="25"/>
  <c r="BB14" i="25"/>
  <c r="BP14" i="25"/>
  <c r="CD14" i="25"/>
  <c r="EH14" i="25"/>
  <c r="Z15" i="25"/>
  <c r="AN15" i="25"/>
  <c r="BB15" i="25"/>
  <c r="BP15" i="25"/>
  <c r="CD15" i="25"/>
  <c r="EH15" i="25"/>
  <c r="Z16" i="25"/>
  <c r="AN16" i="25"/>
  <c r="BB16" i="25"/>
  <c r="BP16" i="25"/>
  <c r="CD16" i="25"/>
  <c r="EH16" i="25"/>
  <c r="Z17" i="25"/>
  <c r="AN17" i="25"/>
  <c r="BB17" i="25"/>
  <c r="BP17" i="25"/>
  <c r="CD17" i="25"/>
  <c r="EH17" i="25"/>
  <c r="Z18" i="25"/>
  <c r="AN18" i="25"/>
  <c r="BB18" i="25"/>
  <c r="BP18" i="25"/>
  <c r="CD18" i="25"/>
  <c r="EH18" i="25"/>
  <c r="Z19" i="25"/>
  <c r="AN19" i="25"/>
  <c r="BB19" i="25"/>
  <c r="BP19" i="25"/>
  <c r="CD19" i="25"/>
  <c r="EH19" i="25"/>
  <c r="Z20" i="25"/>
  <c r="AN20" i="25"/>
  <c r="BB20" i="25"/>
  <c r="BP20" i="25"/>
  <c r="CD20" i="25"/>
  <c r="EH20" i="25"/>
  <c r="Z21" i="25"/>
  <c r="AN21" i="25"/>
  <c r="BB21" i="25"/>
  <c r="BP21" i="25"/>
  <c r="CD21" i="25"/>
  <c r="EH21" i="25"/>
  <c r="Z22" i="25"/>
  <c r="AN22" i="25"/>
  <c r="BB22" i="25"/>
  <c r="BP22" i="25"/>
  <c r="CD22" i="25"/>
  <c r="EH22" i="25"/>
  <c r="Z23" i="25"/>
  <c r="AN23" i="25"/>
  <c r="BB23" i="25"/>
  <c r="BP23" i="25"/>
  <c r="CD23" i="25"/>
  <c r="EH23" i="25"/>
  <c r="Z24" i="25"/>
  <c r="AN24" i="25"/>
  <c r="BB24" i="25"/>
  <c r="BP24" i="25"/>
  <c r="CD24" i="25"/>
  <c r="EH24" i="25"/>
  <c r="Z25" i="25"/>
  <c r="AN25" i="25"/>
  <c r="BB25" i="25"/>
  <c r="BP25" i="25"/>
  <c r="CD25" i="25"/>
  <c r="EH25" i="25"/>
  <c r="Z26" i="25"/>
  <c r="AN26" i="25"/>
  <c r="BB26" i="25"/>
  <c r="BP26" i="25"/>
  <c r="CD26" i="25"/>
  <c r="EH26" i="25"/>
  <c r="Z27" i="25"/>
  <c r="AN27" i="25"/>
  <c r="BB27" i="25"/>
  <c r="BP27" i="25"/>
  <c r="CD27" i="25"/>
  <c r="EH27" i="25"/>
  <c r="Z28" i="25"/>
  <c r="AN28" i="25"/>
  <c r="BB28" i="25"/>
  <c r="BP28" i="25"/>
  <c r="CD28" i="25"/>
  <c r="EH28" i="25"/>
  <c r="Z29" i="25"/>
  <c r="AN29" i="25"/>
  <c r="BB29" i="25"/>
  <c r="BP29" i="25"/>
  <c r="CD29" i="25"/>
  <c r="EH29" i="25"/>
  <c r="EH38" i="25"/>
  <c r="EH46" i="25"/>
  <c r="X12" i="60"/>
  <c r="X53" i="60"/>
  <c r="EH40" i="25"/>
  <c r="X53" i="61"/>
  <c r="EH41" i="25"/>
  <c r="X53" i="62"/>
  <c r="X53" i="14"/>
  <c r="AA6" i="25"/>
  <c r="AO6" i="25"/>
  <c r="BQ6" i="25"/>
  <c r="CE6" i="25"/>
  <c r="EI6" i="25"/>
  <c r="EI32" i="25"/>
  <c r="Y53" i="66"/>
  <c r="EI33" i="25"/>
  <c r="Y53" i="63"/>
  <c r="EI34" i="25"/>
  <c r="Y53" i="55"/>
  <c r="AA7" i="25"/>
  <c r="AO7" i="25"/>
  <c r="BQ7" i="25"/>
  <c r="CE7" i="25"/>
  <c r="EI7" i="25"/>
  <c r="AA8" i="25"/>
  <c r="AO8" i="25"/>
  <c r="BC8" i="25"/>
  <c r="BQ8" i="25"/>
  <c r="CE8" i="25"/>
  <c r="EI8" i="25"/>
  <c r="EI35" i="25"/>
  <c r="Y53" i="57"/>
  <c r="AA9" i="25"/>
  <c r="AO9" i="25"/>
  <c r="BC9" i="25"/>
  <c r="BQ9" i="25"/>
  <c r="CE9" i="25"/>
  <c r="EI9" i="25"/>
  <c r="EI36" i="25"/>
  <c r="Y53" i="59"/>
  <c r="AA10" i="25"/>
  <c r="AO10" i="25"/>
  <c r="BC10" i="25"/>
  <c r="BQ10" i="25"/>
  <c r="CE10" i="25"/>
  <c r="EI10" i="25"/>
  <c r="AA11" i="25"/>
  <c r="AO11" i="25"/>
  <c r="BC11" i="25"/>
  <c r="BQ11" i="25"/>
  <c r="CE11" i="25"/>
  <c r="EI11" i="25"/>
  <c r="EI37" i="25"/>
  <c r="Y53" i="58"/>
  <c r="AA12" i="25"/>
  <c r="AO12" i="25"/>
  <c r="BC12" i="25"/>
  <c r="BQ12" i="25"/>
  <c r="CE12" i="25"/>
  <c r="EI12" i="25"/>
  <c r="AA13" i="25"/>
  <c r="AO13" i="25"/>
  <c r="BC13" i="25"/>
  <c r="BQ13" i="25"/>
  <c r="CE13" i="25"/>
  <c r="EI13" i="25"/>
  <c r="AA14" i="25"/>
  <c r="AO14" i="25"/>
  <c r="BC14" i="25"/>
  <c r="BQ14" i="25"/>
  <c r="CE14" i="25"/>
  <c r="EI14" i="25"/>
  <c r="AA15" i="25"/>
  <c r="AO15" i="25"/>
  <c r="BC15" i="25"/>
  <c r="BQ15" i="25"/>
  <c r="CE15" i="25"/>
  <c r="EI15" i="25"/>
  <c r="AA16" i="25"/>
  <c r="AO16" i="25"/>
  <c r="BC16" i="25"/>
  <c r="BQ16" i="25"/>
  <c r="CE16" i="25"/>
  <c r="EI16" i="25"/>
  <c r="AA17" i="25"/>
  <c r="AO17" i="25"/>
  <c r="BC17" i="25"/>
  <c r="BQ17" i="25"/>
  <c r="CE17" i="25"/>
  <c r="EI17" i="25"/>
  <c r="AA18" i="25"/>
  <c r="AO18" i="25"/>
  <c r="BC18" i="25"/>
  <c r="BQ18" i="25"/>
  <c r="CE18" i="25"/>
  <c r="EI18" i="25"/>
  <c r="AA19" i="25"/>
  <c r="AO19" i="25"/>
  <c r="BC19" i="25"/>
  <c r="BQ19" i="25"/>
  <c r="CE19" i="25"/>
  <c r="EI19" i="25"/>
  <c r="AA20" i="25"/>
  <c r="AO20" i="25"/>
  <c r="BC20" i="25"/>
  <c r="BQ20" i="25"/>
  <c r="CE20" i="25"/>
  <c r="EI20" i="25"/>
  <c r="AA21" i="25"/>
  <c r="AO21" i="25"/>
  <c r="BC21" i="25"/>
  <c r="BQ21" i="25"/>
  <c r="CE21" i="25"/>
  <c r="EI21" i="25"/>
  <c r="AA22" i="25"/>
  <c r="AO22" i="25"/>
  <c r="BC22" i="25"/>
  <c r="BQ22" i="25"/>
  <c r="CE22" i="25"/>
  <c r="EI22" i="25"/>
  <c r="AA23" i="25"/>
  <c r="AO23" i="25"/>
  <c r="BC23" i="25"/>
  <c r="BQ23" i="25"/>
  <c r="CE23" i="25"/>
  <c r="EI23" i="25"/>
  <c r="AA24" i="25"/>
  <c r="AO24" i="25"/>
  <c r="BC24" i="25"/>
  <c r="BQ24" i="25"/>
  <c r="CE24" i="25"/>
  <c r="EI24" i="25"/>
  <c r="AA25" i="25"/>
  <c r="AO25" i="25"/>
  <c r="BC25" i="25"/>
  <c r="BQ25" i="25"/>
  <c r="CE25" i="25"/>
  <c r="EI25" i="25"/>
  <c r="AA26" i="25"/>
  <c r="AO26" i="25"/>
  <c r="BC26" i="25"/>
  <c r="BQ26" i="25"/>
  <c r="CE26" i="25"/>
  <c r="EI26" i="25"/>
  <c r="AA27" i="25"/>
  <c r="AO27" i="25"/>
  <c r="BC27" i="25"/>
  <c r="BQ27" i="25"/>
  <c r="CE27" i="25"/>
  <c r="EI27" i="25"/>
  <c r="AA28" i="25"/>
  <c r="AO28" i="25"/>
  <c r="BC28" i="25"/>
  <c r="BQ28" i="25"/>
  <c r="CE28" i="25"/>
  <c r="EI28" i="25"/>
  <c r="AA29" i="25"/>
  <c r="AO29" i="25"/>
  <c r="BC29" i="25"/>
  <c r="BQ29" i="25"/>
  <c r="CE29" i="25"/>
  <c r="EI29" i="25"/>
  <c r="EI38" i="25"/>
  <c r="EI46" i="25"/>
  <c r="Y12" i="60"/>
  <c r="Y53" i="60"/>
  <c r="EI40" i="25"/>
  <c r="Y53" i="61"/>
  <c r="EI41" i="25"/>
  <c r="Y53" i="62"/>
  <c r="Y53" i="14"/>
  <c r="AB6" i="25"/>
  <c r="AP6" i="25"/>
  <c r="BR6" i="25"/>
  <c r="CF6" i="25"/>
  <c r="EJ6" i="25"/>
  <c r="EJ32" i="25"/>
  <c r="Z53" i="66"/>
  <c r="EJ33" i="25"/>
  <c r="Z53" i="63"/>
  <c r="EJ34" i="25"/>
  <c r="Z53" i="55"/>
  <c r="AB7" i="25"/>
  <c r="AP7" i="25"/>
  <c r="BR7" i="25"/>
  <c r="CF7" i="25"/>
  <c r="EJ7" i="25"/>
  <c r="AB8" i="25"/>
  <c r="AP8" i="25"/>
  <c r="BD8" i="25"/>
  <c r="BR8" i="25"/>
  <c r="CF8" i="25"/>
  <c r="EJ8" i="25"/>
  <c r="EJ35" i="25"/>
  <c r="Z53" i="57"/>
  <c r="AB9" i="25"/>
  <c r="AP9" i="25"/>
  <c r="BD9" i="25"/>
  <c r="BR9" i="25"/>
  <c r="CF9" i="25"/>
  <c r="EJ9" i="25"/>
  <c r="EJ36" i="25"/>
  <c r="Z53" i="59"/>
  <c r="AB10" i="25"/>
  <c r="AP10" i="25"/>
  <c r="BD10" i="25"/>
  <c r="BR10" i="25"/>
  <c r="CF10" i="25"/>
  <c r="EJ10" i="25"/>
  <c r="AB11" i="25"/>
  <c r="AP11" i="25"/>
  <c r="BD11" i="25"/>
  <c r="BR11" i="25"/>
  <c r="CF11" i="25"/>
  <c r="EJ11" i="25"/>
  <c r="EJ37" i="25"/>
  <c r="Z53" i="58"/>
  <c r="AB12" i="25"/>
  <c r="AP12" i="25"/>
  <c r="BD12" i="25"/>
  <c r="BR12" i="25"/>
  <c r="CF12" i="25"/>
  <c r="EJ12" i="25"/>
  <c r="AB13" i="25"/>
  <c r="AP13" i="25"/>
  <c r="BD13" i="25"/>
  <c r="BR13" i="25"/>
  <c r="CF13" i="25"/>
  <c r="EJ13" i="25"/>
  <c r="AB14" i="25"/>
  <c r="AP14" i="25"/>
  <c r="BD14" i="25"/>
  <c r="BR14" i="25"/>
  <c r="CF14" i="25"/>
  <c r="EJ14" i="25"/>
  <c r="AB15" i="25"/>
  <c r="AP15" i="25"/>
  <c r="BD15" i="25"/>
  <c r="BR15" i="25"/>
  <c r="CF15" i="25"/>
  <c r="EJ15" i="25"/>
  <c r="AB16" i="25"/>
  <c r="AP16" i="25"/>
  <c r="BD16" i="25"/>
  <c r="BR16" i="25"/>
  <c r="CF16" i="25"/>
  <c r="EJ16" i="25"/>
  <c r="AB17" i="25"/>
  <c r="AP17" i="25"/>
  <c r="BD17" i="25"/>
  <c r="BR17" i="25"/>
  <c r="CF17" i="25"/>
  <c r="EJ17" i="25"/>
  <c r="AB18" i="25"/>
  <c r="AP18" i="25"/>
  <c r="BD18" i="25"/>
  <c r="BR18" i="25"/>
  <c r="CF18" i="25"/>
  <c r="EJ18" i="25"/>
  <c r="AB19" i="25"/>
  <c r="AP19" i="25"/>
  <c r="BD19" i="25"/>
  <c r="BR19" i="25"/>
  <c r="CF19" i="25"/>
  <c r="EJ19" i="25"/>
  <c r="AB20" i="25"/>
  <c r="AP20" i="25"/>
  <c r="BD20" i="25"/>
  <c r="BR20" i="25"/>
  <c r="CF20" i="25"/>
  <c r="EJ20" i="25"/>
  <c r="AB21" i="25"/>
  <c r="AP21" i="25"/>
  <c r="BD21" i="25"/>
  <c r="BR21" i="25"/>
  <c r="CF21" i="25"/>
  <c r="EJ21" i="25"/>
  <c r="AB22" i="25"/>
  <c r="AP22" i="25"/>
  <c r="BD22" i="25"/>
  <c r="BR22" i="25"/>
  <c r="CF22" i="25"/>
  <c r="EJ22" i="25"/>
  <c r="AB23" i="25"/>
  <c r="AP23" i="25"/>
  <c r="BD23" i="25"/>
  <c r="BR23" i="25"/>
  <c r="CF23" i="25"/>
  <c r="EJ23" i="25"/>
  <c r="AB24" i="25"/>
  <c r="AP24" i="25"/>
  <c r="BD24" i="25"/>
  <c r="BR24" i="25"/>
  <c r="CF24" i="25"/>
  <c r="EJ24" i="25"/>
  <c r="AB25" i="25"/>
  <c r="AP25" i="25"/>
  <c r="BD25" i="25"/>
  <c r="BR25" i="25"/>
  <c r="CF25" i="25"/>
  <c r="EJ25" i="25"/>
  <c r="AB26" i="25"/>
  <c r="AP26" i="25"/>
  <c r="BD26" i="25"/>
  <c r="BR26" i="25"/>
  <c r="CF26" i="25"/>
  <c r="EJ26" i="25"/>
  <c r="AB27" i="25"/>
  <c r="AP27" i="25"/>
  <c r="BD27" i="25"/>
  <c r="BR27" i="25"/>
  <c r="CF27" i="25"/>
  <c r="EJ27" i="25"/>
  <c r="AB28" i="25"/>
  <c r="AP28" i="25"/>
  <c r="BD28" i="25"/>
  <c r="BR28" i="25"/>
  <c r="CF28" i="25"/>
  <c r="EJ28" i="25"/>
  <c r="AB29" i="25"/>
  <c r="AP29" i="25"/>
  <c r="BD29" i="25"/>
  <c r="BR29" i="25"/>
  <c r="CF29" i="25"/>
  <c r="EJ29" i="25"/>
  <c r="EJ38" i="25"/>
  <c r="EJ46" i="25"/>
  <c r="Z12" i="60"/>
  <c r="Z53" i="60"/>
  <c r="EJ40" i="25"/>
  <c r="Z53" i="61"/>
  <c r="EJ41" i="25"/>
  <c r="Z53" i="62"/>
  <c r="Z53" i="14"/>
  <c r="AC6" i="25"/>
  <c r="AQ6" i="25"/>
  <c r="BS6" i="25"/>
  <c r="CG6" i="25"/>
  <c r="EK6" i="25"/>
  <c r="EK32" i="25"/>
  <c r="AA53" i="66"/>
  <c r="EK33" i="25"/>
  <c r="AA53" i="63"/>
  <c r="EK34" i="25"/>
  <c r="AA53" i="55"/>
  <c r="AC7" i="25"/>
  <c r="AQ7" i="25"/>
  <c r="BS7" i="25"/>
  <c r="CG7" i="25"/>
  <c r="EK7" i="25"/>
  <c r="AC8" i="25"/>
  <c r="AQ8" i="25"/>
  <c r="BE8" i="25"/>
  <c r="BS8" i="25"/>
  <c r="CG8" i="25"/>
  <c r="EK8" i="25"/>
  <c r="EK35" i="25"/>
  <c r="AA53" i="57"/>
  <c r="AC9" i="25"/>
  <c r="AQ9" i="25"/>
  <c r="BE9" i="25"/>
  <c r="BS9" i="25"/>
  <c r="CG9" i="25"/>
  <c r="EK9" i="25"/>
  <c r="EK36" i="25"/>
  <c r="AA53" i="59"/>
  <c r="AC10" i="25"/>
  <c r="AQ10" i="25"/>
  <c r="BE10" i="25"/>
  <c r="BS10" i="25"/>
  <c r="CG10" i="25"/>
  <c r="EK10" i="25"/>
  <c r="AC11" i="25"/>
  <c r="AQ11" i="25"/>
  <c r="BE11" i="25"/>
  <c r="BS11" i="25"/>
  <c r="CG11" i="25"/>
  <c r="EK11" i="25"/>
  <c r="EK37" i="25"/>
  <c r="AA53" i="58"/>
  <c r="AC12" i="25"/>
  <c r="AQ12" i="25"/>
  <c r="BE12" i="25"/>
  <c r="BS12" i="25"/>
  <c r="CG12" i="25"/>
  <c r="EK12" i="25"/>
  <c r="AC13" i="25"/>
  <c r="AQ13" i="25"/>
  <c r="BE13" i="25"/>
  <c r="BS13" i="25"/>
  <c r="CG13" i="25"/>
  <c r="EK13" i="25"/>
  <c r="AC14" i="25"/>
  <c r="AQ14" i="25"/>
  <c r="BE14" i="25"/>
  <c r="BS14" i="25"/>
  <c r="CG14" i="25"/>
  <c r="EK14" i="25"/>
  <c r="AC15" i="25"/>
  <c r="AQ15" i="25"/>
  <c r="BE15" i="25"/>
  <c r="BS15" i="25"/>
  <c r="CG15" i="25"/>
  <c r="EK15" i="25"/>
  <c r="AC16" i="25"/>
  <c r="AQ16" i="25"/>
  <c r="BE16" i="25"/>
  <c r="BS16" i="25"/>
  <c r="CG16" i="25"/>
  <c r="EK16" i="25"/>
  <c r="AC17" i="25"/>
  <c r="AQ17" i="25"/>
  <c r="BE17" i="25"/>
  <c r="BS17" i="25"/>
  <c r="CG17" i="25"/>
  <c r="EK17" i="25"/>
  <c r="AC18" i="25"/>
  <c r="AQ18" i="25"/>
  <c r="BE18" i="25"/>
  <c r="BS18" i="25"/>
  <c r="CG18" i="25"/>
  <c r="EK18" i="25"/>
  <c r="AC19" i="25"/>
  <c r="AQ19" i="25"/>
  <c r="BE19" i="25"/>
  <c r="BS19" i="25"/>
  <c r="CG19" i="25"/>
  <c r="EK19" i="25"/>
  <c r="AC20" i="25"/>
  <c r="AQ20" i="25"/>
  <c r="BE20" i="25"/>
  <c r="BS20" i="25"/>
  <c r="CG20" i="25"/>
  <c r="EK20" i="25"/>
  <c r="AC21" i="25"/>
  <c r="AQ21" i="25"/>
  <c r="BE21" i="25"/>
  <c r="BS21" i="25"/>
  <c r="CG21" i="25"/>
  <c r="EK21" i="25"/>
  <c r="AC22" i="25"/>
  <c r="AQ22" i="25"/>
  <c r="BE22" i="25"/>
  <c r="BS22" i="25"/>
  <c r="CG22" i="25"/>
  <c r="EK22" i="25"/>
  <c r="AC23" i="25"/>
  <c r="AQ23" i="25"/>
  <c r="BE23" i="25"/>
  <c r="BS23" i="25"/>
  <c r="CG23" i="25"/>
  <c r="EK23" i="25"/>
  <c r="AC24" i="25"/>
  <c r="AQ24" i="25"/>
  <c r="BE24" i="25"/>
  <c r="BS24" i="25"/>
  <c r="CG24" i="25"/>
  <c r="EK24" i="25"/>
  <c r="AC25" i="25"/>
  <c r="AQ25" i="25"/>
  <c r="BE25" i="25"/>
  <c r="BS25" i="25"/>
  <c r="CG25" i="25"/>
  <c r="EK25" i="25"/>
  <c r="AC26" i="25"/>
  <c r="AQ26" i="25"/>
  <c r="BE26" i="25"/>
  <c r="BS26" i="25"/>
  <c r="CG26" i="25"/>
  <c r="EK26" i="25"/>
  <c r="AC27" i="25"/>
  <c r="AQ27" i="25"/>
  <c r="BE27" i="25"/>
  <c r="BS27" i="25"/>
  <c r="CG27" i="25"/>
  <c r="EK27" i="25"/>
  <c r="AC28" i="25"/>
  <c r="AQ28" i="25"/>
  <c r="BE28" i="25"/>
  <c r="BS28" i="25"/>
  <c r="CG28" i="25"/>
  <c r="EK28" i="25"/>
  <c r="AC29" i="25"/>
  <c r="AQ29" i="25"/>
  <c r="BE29" i="25"/>
  <c r="BS29" i="25"/>
  <c r="CG29" i="25"/>
  <c r="EK29" i="25"/>
  <c r="EK38" i="25"/>
  <c r="EK46" i="25"/>
  <c r="AA12" i="60"/>
  <c r="AA53" i="60"/>
  <c r="EK40" i="25"/>
  <c r="AA53" i="61"/>
  <c r="EK41" i="25"/>
  <c r="AA53" i="62"/>
  <c r="AA53" i="14"/>
  <c r="AD6" i="25"/>
  <c r="AR6" i="25"/>
  <c r="BT6" i="25"/>
  <c r="CH6" i="25"/>
  <c r="EL6" i="25"/>
  <c r="EL32" i="25"/>
  <c r="AB53" i="66"/>
  <c r="EL33" i="25"/>
  <c r="AB53" i="63"/>
  <c r="EL34" i="25"/>
  <c r="AB53" i="55"/>
  <c r="AD7" i="25"/>
  <c r="AR7" i="25"/>
  <c r="BT7" i="25"/>
  <c r="CH7" i="25"/>
  <c r="EL7" i="25"/>
  <c r="AD8" i="25"/>
  <c r="AR8" i="25"/>
  <c r="BF8" i="25"/>
  <c r="BT8" i="25"/>
  <c r="CH8" i="25"/>
  <c r="EL8" i="25"/>
  <c r="EL35" i="25"/>
  <c r="AB53" i="57"/>
  <c r="AD9" i="25"/>
  <c r="AR9" i="25"/>
  <c r="BF9" i="25"/>
  <c r="BT9" i="25"/>
  <c r="CH9" i="25"/>
  <c r="EL9" i="25"/>
  <c r="EL36" i="25"/>
  <c r="AB53" i="59"/>
  <c r="AD10" i="25"/>
  <c r="AR10" i="25"/>
  <c r="BF10" i="25"/>
  <c r="BT10" i="25"/>
  <c r="CH10" i="25"/>
  <c r="EL10" i="25"/>
  <c r="AD11" i="25"/>
  <c r="AR11" i="25"/>
  <c r="BF11" i="25"/>
  <c r="BT11" i="25"/>
  <c r="CH11" i="25"/>
  <c r="EL11" i="25"/>
  <c r="EL37" i="25"/>
  <c r="AB53" i="58"/>
  <c r="AD12" i="25"/>
  <c r="AR12" i="25"/>
  <c r="BF12" i="25"/>
  <c r="BT12" i="25"/>
  <c r="CH12" i="25"/>
  <c r="EL12" i="25"/>
  <c r="AD13" i="25"/>
  <c r="AR13" i="25"/>
  <c r="BF13" i="25"/>
  <c r="BT13" i="25"/>
  <c r="CH13" i="25"/>
  <c r="EL13" i="25"/>
  <c r="AD14" i="25"/>
  <c r="AR14" i="25"/>
  <c r="BF14" i="25"/>
  <c r="BT14" i="25"/>
  <c r="CH14" i="25"/>
  <c r="EL14" i="25"/>
  <c r="AD15" i="25"/>
  <c r="AR15" i="25"/>
  <c r="BF15" i="25"/>
  <c r="BT15" i="25"/>
  <c r="CH15" i="25"/>
  <c r="EL15" i="25"/>
  <c r="AD16" i="25"/>
  <c r="AR16" i="25"/>
  <c r="BF16" i="25"/>
  <c r="BT16" i="25"/>
  <c r="CH16" i="25"/>
  <c r="EL16" i="25"/>
  <c r="AD17" i="25"/>
  <c r="AR17" i="25"/>
  <c r="BF17" i="25"/>
  <c r="BT17" i="25"/>
  <c r="CH17" i="25"/>
  <c r="EL17" i="25"/>
  <c r="AD18" i="25"/>
  <c r="AR18" i="25"/>
  <c r="BF18" i="25"/>
  <c r="BT18" i="25"/>
  <c r="CH18" i="25"/>
  <c r="EL18" i="25"/>
  <c r="AD19" i="25"/>
  <c r="AR19" i="25"/>
  <c r="BF19" i="25"/>
  <c r="BT19" i="25"/>
  <c r="CH19" i="25"/>
  <c r="EL19" i="25"/>
  <c r="AD20" i="25"/>
  <c r="AR20" i="25"/>
  <c r="BF20" i="25"/>
  <c r="BT20" i="25"/>
  <c r="CH20" i="25"/>
  <c r="EL20" i="25"/>
  <c r="AD21" i="25"/>
  <c r="AR21" i="25"/>
  <c r="BF21" i="25"/>
  <c r="BT21" i="25"/>
  <c r="CH21" i="25"/>
  <c r="EL21" i="25"/>
  <c r="AD22" i="25"/>
  <c r="AR22" i="25"/>
  <c r="BF22" i="25"/>
  <c r="BT22" i="25"/>
  <c r="CH22" i="25"/>
  <c r="EL22" i="25"/>
  <c r="AD23" i="25"/>
  <c r="AR23" i="25"/>
  <c r="BF23" i="25"/>
  <c r="BT23" i="25"/>
  <c r="CH23" i="25"/>
  <c r="EL23" i="25"/>
  <c r="AD24" i="25"/>
  <c r="AR24" i="25"/>
  <c r="BF24" i="25"/>
  <c r="BT24" i="25"/>
  <c r="CH24" i="25"/>
  <c r="EL24" i="25"/>
  <c r="AD25" i="25"/>
  <c r="AR25" i="25"/>
  <c r="BF25" i="25"/>
  <c r="BT25" i="25"/>
  <c r="CH25" i="25"/>
  <c r="EL25" i="25"/>
  <c r="AD26" i="25"/>
  <c r="AR26" i="25"/>
  <c r="BF26" i="25"/>
  <c r="BT26" i="25"/>
  <c r="CH26" i="25"/>
  <c r="EL26" i="25"/>
  <c r="AD27" i="25"/>
  <c r="AR27" i="25"/>
  <c r="BF27" i="25"/>
  <c r="BT27" i="25"/>
  <c r="CH27" i="25"/>
  <c r="EL27" i="25"/>
  <c r="AD28" i="25"/>
  <c r="AR28" i="25"/>
  <c r="BF28" i="25"/>
  <c r="BT28" i="25"/>
  <c r="CH28" i="25"/>
  <c r="EL28" i="25"/>
  <c r="AD29" i="25"/>
  <c r="AR29" i="25"/>
  <c r="BF29" i="25"/>
  <c r="BT29" i="25"/>
  <c r="CH29" i="25"/>
  <c r="EL29" i="25"/>
  <c r="EL38" i="25"/>
  <c r="EL46" i="25"/>
  <c r="AB12" i="60"/>
  <c r="AB53" i="60"/>
  <c r="EL40" i="25"/>
  <c r="AB53" i="61"/>
  <c r="EL41" i="25"/>
  <c r="AB53" i="62"/>
  <c r="AB53" i="14"/>
  <c r="AE6" i="25"/>
  <c r="AS6" i="25"/>
  <c r="BU6" i="25"/>
  <c r="CI6" i="25"/>
  <c r="EM6" i="25"/>
  <c r="EM32" i="25"/>
  <c r="AC53" i="66"/>
  <c r="EM33" i="25"/>
  <c r="AC53" i="63"/>
  <c r="EM34" i="25"/>
  <c r="AC53" i="55"/>
  <c r="AE7" i="25"/>
  <c r="AS7" i="25"/>
  <c r="BU7" i="25"/>
  <c r="CI7" i="25"/>
  <c r="EM7" i="25"/>
  <c r="AE8" i="25"/>
  <c r="AS8" i="25"/>
  <c r="BG8" i="25"/>
  <c r="BU8" i="25"/>
  <c r="CI8" i="25"/>
  <c r="EM8" i="25"/>
  <c r="EM35" i="25"/>
  <c r="AC53" i="57"/>
  <c r="AE9" i="25"/>
  <c r="AS9" i="25"/>
  <c r="BG9" i="25"/>
  <c r="BU9" i="25"/>
  <c r="CI9" i="25"/>
  <c r="EM9" i="25"/>
  <c r="EM36" i="25"/>
  <c r="AC53" i="59"/>
  <c r="AE10" i="25"/>
  <c r="AS10" i="25"/>
  <c r="BG10" i="25"/>
  <c r="BU10" i="25"/>
  <c r="CI10" i="25"/>
  <c r="EM10" i="25"/>
  <c r="AE11" i="25"/>
  <c r="AS11" i="25"/>
  <c r="BG11" i="25"/>
  <c r="BU11" i="25"/>
  <c r="CI11" i="25"/>
  <c r="EM11" i="25"/>
  <c r="EM37" i="25"/>
  <c r="AC53" i="58"/>
  <c r="AE12" i="25"/>
  <c r="AS12" i="25"/>
  <c r="BG12" i="25"/>
  <c r="BU12" i="25"/>
  <c r="CI12" i="25"/>
  <c r="EM12" i="25"/>
  <c r="AE13" i="25"/>
  <c r="AS13" i="25"/>
  <c r="BG13" i="25"/>
  <c r="BU13" i="25"/>
  <c r="CI13" i="25"/>
  <c r="EM13" i="25"/>
  <c r="AE14" i="25"/>
  <c r="AS14" i="25"/>
  <c r="BG14" i="25"/>
  <c r="BU14" i="25"/>
  <c r="CI14" i="25"/>
  <c r="EM14" i="25"/>
  <c r="AE15" i="25"/>
  <c r="AS15" i="25"/>
  <c r="BG15" i="25"/>
  <c r="BU15" i="25"/>
  <c r="CI15" i="25"/>
  <c r="EM15" i="25"/>
  <c r="AE16" i="25"/>
  <c r="AS16" i="25"/>
  <c r="BG16" i="25"/>
  <c r="BU16" i="25"/>
  <c r="CI16" i="25"/>
  <c r="EM16" i="25"/>
  <c r="AE17" i="25"/>
  <c r="AS17" i="25"/>
  <c r="BG17" i="25"/>
  <c r="BU17" i="25"/>
  <c r="CI17" i="25"/>
  <c r="EM17" i="25"/>
  <c r="AE18" i="25"/>
  <c r="AS18" i="25"/>
  <c r="BG18" i="25"/>
  <c r="BU18" i="25"/>
  <c r="CI18" i="25"/>
  <c r="EM18" i="25"/>
  <c r="AE19" i="25"/>
  <c r="AS19" i="25"/>
  <c r="BG19" i="25"/>
  <c r="BU19" i="25"/>
  <c r="CI19" i="25"/>
  <c r="EM19" i="25"/>
  <c r="AE20" i="25"/>
  <c r="AS20" i="25"/>
  <c r="BG20" i="25"/>
  <c r="BU20" i="25"/>
  <c r="CI20" i="25"/>
  <c r="EM20" i="25"/>
  <c r="AE21" i="25"/>
  <c r="AS21" i="25"/>
  <c r="BG21" i="25"/>
  <c r="BU21" i="25"/>
  <c r="CI21" i="25"/>
  <c r="EM21" i="25"/>
  <c r="AE22" i="25"/>
  <c r="AS22" i="25"/>
  <c r="BG22" i="25"/>
  <c r="BU22" i="25"/>
  <c r="CI22" i="25"/>
  <c r="EM22" i="25"/>
  <c r="AE23" i="25"/>
  <c r="AS23" i="25"/>
  <c r="BG23" i="25"/>
  <c r="BU23" i="25"/>
  <c r="CI23" i="25"/>
  <c r="EM23" i="25"/>
  <c r="AE24" i="25"/>
  <c r="AS24" i="25"/>
  <c r="BG24" i="25"/>
  <c r="BU24" i="25"/>
  <c r="CI24" i="25"/>
  <c r="EM24" i="25"/>
  <c r="AE25" i="25"/>
  <c r="AS25" i="25"/>
  <c r="BG25" i="25"/>
  <c r="BU25" i="25"/>
  <c r="CI25" i="25"/>
  <c r="EM25" i="25"/>
  <c r="AE26" i="25"/>
  <c r="AS26" i="25"/>
  <c r="BG26" i="25"/>
  <c r="BU26" i="25"/>
  <c r="CI26" i="25"/>
  <c r="EM26" i="25"/>
  <c r="AE27" i="25"/>
  <c r="AS27" i="25"/>
  <c r="BG27" i="25"/>
  <c r="BU27" i="25"/>
  <c r="CI27" i="25"/>
  <c r="EM27" i="25"/>
  <c r="AE28" i="25"/>
  <c r="AS28" i="25"/>
  <c r="BG28" i="25"/>
  <c r="BU28" i="25"/>
  <c r="CI28" i="25"/>
  <c r="EM28" i="25"/>
  <c r="AE29" i="25"/>
  <c r="AS29" i="25"/>
  <c r="BG29" i="25"/>
  <c r="BU29" i="25"/>
  <c r="CI29" i="25"/>
  <c r="EM29" i="25"/>
  <c r="EM38" i="25"/>
  <c r="EM46" i="25"/>
  <c r="AC12" i="60"/>
  <c r="AC53" i="60"/>
  <c r="EM40" i="25"/>
  <c r="AC53" i="61"/>
  <c r="EM41" i="25"/>
  <c r="AC53" i="62"/>
  <c r="AC53" i="14"/>
  <c r="AF6" i="25"/>
  <c r="AT6" i="25"/>
  <c r="BV6" i="25"/>
  <c r="CJ6" i="25"/>
  <c r="EN6" i="25"/>
  <c r="EN32" i="25"/>
  <c r="AD53" i="66"/>
  <c r="EN33" i="25"/>
  <c r="AD53" i="63"/>
  <c r="EN34" i="25"/>
  <c r="AD53" i="55"/>
  <c r="AF7" i="25"/>
  <c r="AT7" i="25"/>
  <c r="BV7" i="25"/>
  <c r="CJ7" i="25"/>
  <c r="EN7" i="25"/>
  <c r="AF8" i="25"/>
  <c r="AT8" i="25"/>
  <c r="BH8" i="25"/>
  <c r="BV8" i="25"/>
  <c r="CJ8" i="25"/>
  <c r="EN8" i="25"/>
  <c r="EN35" i="25"/>
  <c r="AD53" i="57"/>
  <c r="AF9" i="25"/>
  <c r="AT9" i="25"/>
  <c r="BH9" i="25"/>
  <c r="BV9" i="25"/>
  <c r="CJ9" i="25"/>
  <c r="EN9" i="25"/>
  <c r="EN36" i="25"/>
  <c r="AD53" i="59"/>
  <c r="AF10" i="25"/>
  <c r="AT10" i="25"/>
  <c r="BH10" i="25"/>
  <c r="BV10" i="25"/>
  <c r="CJ10" i="25"/>
  <c r="EN10" i="25"/>
  <c r="AF11" i="25"/>
  <c r="AT11" i="25"/>
  <c r="BH11" i="25"/>
  <c r="BV11" i="25"/>
  <c r="CJ11" i="25"/>
  <c r="EN11" i="25"/>
  <c r="EN37" i="25"/>
  <c r="AD53" i="58"/>
  <c r="AF12" i="25"/>
  <c r="AT12" i="25"/>
  <c r="BH12" i="25"/>
  <c r="BV12" i="25"/>
  <c r="CJ12" i="25"/>
  <c r="EN12" i="25"/>
  <c r="AF13" i="25"/>
  <c r="AT13" i="25"/>
  <c r="BH13" i="25"/>
  <c r="BV13" i="25"/>
  <c r="CJ13" i="25"/>
  <c r="EN13" i="25"/>
  <c r="AF14" i="25"/>
  <c r="AT14" i="25"/>
  <c r="BH14" i="25"/>
  <c r="BV14" i="25"/>
  <c r="CJ14" i="25"/>
  <c r="EN14" i="25"/>
  <c r="AF15" i="25"/>
  <c r="AT15" i="25"/>
  <c r="BH15" i="25"/>
  <c r="BV15" i="25"/>
  <c r="CJ15" i="25"/>
  <c r="EN15" i="25"/>
  <c r="AF16" i="25"/>
  <c r="AT16" i="25"/>
  <c r="BH16" i="25"/>
  <c r="BV16" i="25"/>
  <c r="CJ16" i="25"/>
  <c r="EN16" i="25"/>
  <c r="AF17" i="25"/>
  <c r="AT17" i="25"/>
  <c r="BH17" i="25"/>
  <c r="BV17" i="25"/>
  <c r="CJ17" i="25"/>
  <c r="EN17" i="25"/>
  <c r="AF18" i="25"/>
  <c r="AT18" i="25"/>
  <c r="BH18" i="25"/>
  <c r="BV18" i="25"/>
  <c r="CJ18" i="25"/>
  <c r="EN18" i="25"/>
  <c r="AF19" i="25"/>
  <c r="AT19" i="25"/>
  <c r="BH19" i="25"/>
  <c r="BV19" i="25"/>
  <c r="CJ19" i="25"/>
  <c r="EN19" i="25"/>
  <c r="AF20" i="25"/>
  <c r="AT20" i="25"/>
  <c r="BH20" i="25"/>
  <c r="BV20" i="25"/>
  <c r="CJ20" i="25"/>
  <c r="EN20" i="25"/>
  <c r="AF21" i="25"/>
  <c r="AT21" i="25"/>
  <c r="BH21" i="25"/>
  <c r="BV21" i="25"/>
  <c r="CJ21" i="25"/>
  <c r="EN21" i="25"/>
  <c r="AF22" i="25"/>
  <c r="AT22" i="25"/>
  <c r="BH22" i="25"/>
  <c r="BV22" i="25"/>
  <c r="CJ22" i="25"/>
  <c r="EN22" i="25"/>
  <c r="AF23" i="25"/>
  <c r="AT23" i="25"/>
  <c r="BH23" i="25"/>
  <c r="BV23" i="25"/>
  <c r="CJ23" i="25"/>
  <c r="EN23" i="25"/>
  <c r="AF24" i="25"/>
  <c r="AT24" i="25"/>
  <c r="BH24" i="25"/>
  <c r="BV24" i="25"/>
  <c r="CJ24" i="25"/>
  <c r="EN24" i="25"/>
  <c r="AF25" i="25"/>
  <c r="AT25" i="25"/>
  <c r="BH25" i="25"/>
  <c r="BV25" i="25"/>
  <c r="CJ25" i="25"/>
  <c r="EN25" i="25"/>
  <c r="AF26" i="25"/>
  <c r="AT26" i="25"/>
  <c r="BH26" i="25"/>
  <c r="BV26" i="25"/>
  <c r="CJ26" i="25"/>
  <c r="EN26" i="25"/>
  <c r="AF27" i="25"/>
  <c r="AT27" i="25"/>
  <c r="BH27" i="25"/>
  <c r="BV27" i="25"/>
  <c r="CJ27" i="25"/>
  <c r="EN27" i="25"/>
  <c r="AF28" i="25"/>
  <c r="AT28" i="25"/>
  <c r="BH28" i="25"/>
  <c r="BV28" i="25"/>
  <c r="CJ28" i="25"/>
  <c r="EN28" i="25"/>
  <c r="AF29" i="25"/>
  <c r="AT29" i="25"/>
  <c r="BH29" i="25"/>
  <c r="BV29" i="25"/>
  <c r="CJ29" i="25"/>
  <c r="EN29" i="25"/>
  <c r="EN38" i="25"/>
  <c r="EN46" i="25"/>
  <c r="AD12" i="60"/>
  <c r="AD53" i="60"/>
  <c r="EN40" i="25"/>
  <c r="AD53" i="61"/>
  <c r="EN41" i="25"/>
  <c r="AD53" i="62"/>
  <c r="AD53" i="14"/>
  <c r="AG6" i="25"/>
  <c r="AU6" i="25"/>
  <c r="BW6" i="25"/>
  <c r="CK6" i="25"/>
  <c r="EO6" i="25"/>
  <c r="EO32" i="25"/>
  <c r="AE53" i="66"/>
  <c r="EO33" i="25"/>
  <c r="AE53" i="63"/>
  <c r="EO34" i="25"/>
  <c r="AE53" i="55"/>
  <c r="AG7" i="25"/>
  <c r="AU7" i="25"/>
  <c r="BW7" i="25"/>
  <c r="CK7" i="25"/>
  <c r="EO7" i="25"/>
  <c r="AG8" i="25"/>
  <c r="AU8" i="25"/>
  <c r="BI8" i="25"/>
  <c r="BW8" i="25"/>
  <c r="CK8" i="25"/>
  <c r="EO8" i="25"/>
  <c r="EO35" i="25"/>
  <c r="AE53" i="57"/>
  <c r="AG9" i="25"/>
  <c r="AU9" i="25"/>
  <c r="BI9" i="25"/>
  <c r="BW9" i="25"/>
  <c r="CK9" i="25"/>
  <c r="EO9" i="25"/>
  <c r="EO36" i="25"/>
  <c r="AE53" i="59"/>
  <c r="AG10" i="25"/>
  <c r="AU10" i="25"/>
  <c r="BI10" i="25"/>
  <c r="BW10" i="25"/>
  <c r="CK10" i="25"/>
  <c r="EO10" i="25"/>
  <c r="AG11" i="25"/>
  <c r="AU11" i="25"/>
  <c r="BI11" i="25"/>
  <c r="BW11" i="25"/>
  <c r="CK11" i="25"/>
  <c r="EO11" i="25"/>
  <c r="EO37" i="25"/>
  <c r="AE53" i="58"/>
  <c r="AG12" i="25"/>
  <c r="AU12" i="25"/>
  <c r="BI12" i="25"/>
  <c r="BW12" i="25"/>
  <c r="CK12" i="25"/>
  <c r="EO12" i="25"/>
  <c r="AG13" i="25"/>
  <c r="AU13" i="25"/>
  <c r="BI13" i="25"/>
  <c r="BW13" i="25"/>
  <c r="CK13" i="25"/>
  <c r="EO13" i="25"/>
  <c r="AG14" i="25"/>
  <c r="AU14" i="25"/>
  <c r="BI14" i="25"/>
  <c r="BW14" i="25"/>
  <c r="CK14" i="25"/>
  <c r="EO14" i="25"/>
  <c r="AG15" i="25"/>
  <c r="AU15" i="25"/>
  <c r="BI15" i="25"/>
  <c r="BW15" i="25"/>
  <c r="CK15" i="25"/>
  <c r="EO15" i="25"/>
  <c r="AG16" i="25"/>
  <c r="AU16" i="25"/>
  <c r="BI16" i="25"/>
  <c r="BW16" i="25"/>
  <c r="CK16" i="25"/>
  <c r="EO16" i="25"/>
  <c r="AG17" i="25"/>
  <c r="AU17" i="25"/>
  <c r="BI17" i="25"/>
  <c r="BW17" i="25"/>
  <c r="CK17" i="25"/>
  <c r="EO17" i="25"/>
  <c r="AG18" i="25"/>
  <c r="AU18" i="25"/>
  <c r="BI18" i="25"/>
  <c r="BW18" i="25"/>
  <c r="CK18" i="25"/>
  <c r="EO18" i="25"/>
  <c r="AG19" i="25"/>
  <c r="AU19" i="25"/>
  <c r="BI19" i="25"/>
  <c r="BW19" i="25"/>
  <c r="CK19" i="25"/>
  <c r="EO19" i="25"/>
  <c r="AG20" i="25"/>
  <c r="AU20" i="25"/>
  <c r="BI20" i="25"/>
  <c r="BW20" i="25"/>
  <c r="CK20" i="25"/>
  <c r="EO20" i="25"/>
  <c r="AG21" i="25"/>
  <c r="AU21" i="25"/>
  <c r="BI21" i="25"/>
  <c r="BW21" i="25"/>
  <c r="CK21" i="25"/>
  <c r="EO21" i="25"/>
  <c r="AG22" i="25"/>
  <c r="AU22" i="25"/>
  <c r="BI22" i="25"/>
  <c r="BW22" i="25"/>
  <c r="CK22" i="25"/>
  <c r="EO22" i="25"/>
  <c r="AG23" i="25"/>
  <c r="AU23" i="25"/>
  <c r="BI23" i="25"/>
  <c r="BW23" i="25"/>
  <c r="CK23" i="25"/>
  <c r="EO23" i="25"/>
  <c r="AG24" i="25"/>
  <c r="AU24" i="25"/>
  <c r="BI24" i="25"/>
  <c r="BW24" i="25"/>
  <c r="CK24" i="25"/>
  <c r="EO24" i="25"/>
  <c r="AG25" i="25"/>
  <c r="AU25" i="25"/>
  <c r="BI25" i="25"/>
  <c r="BW25" i="25"/>
  <c r="CK25" i="25"/>
  <c r="EO25" i="25"/>
  <c r="AG26" i="25"/>
  <c r="AU26" i="25"/>
  <c r="BI26" i="25"/>
  <c r="BW26" i="25"/>
  <c r="CK26" i="25"/>
  <c r="EO26" i="25"/>
  <c r="AG27" i="25"/>
  <c r="AU27" i="25"/>
  <c r="BI27" i="25"/>
  <c r="BW27" i="25"/>
  <c r="CK27" i="25"/>
  <c r="EO27" i="25"/>
  <c r="AG28" i="25"/>
  <c r="AU28" i="25"/>
  <c r="BI28" i="25"/>
  <c r="BW28" i="25"/>
  <c r="CK28" i="25"/>
  <c r="EO28" i="25"/>
  <c r="AG29" i="25"/>
  <c r="AU29" i="25"/>
  <c r="BI29" i="25"/>
  <c r="BW29" i="25"/>
  <c r="CK29" i="25"/>
  <c r="EO29" i="25"/>
  <c r="EO38" i="25"/>
  <c r="EO46" i="25"/>
  <c r="AE12" i="60"/>
  <c r="AE53" i="60"/>
  <c r="EO40" i="25"/>
  <c r="AE53" i="61"/>
  <c r="EO41" i="25"/>
  <c r="AE53" i="62"/>
  <c r="AE53" i="14"/>
  <c r="AH6" i="25"/>
  <c r="AV6" i="25"/>
  <c r="BX6" i="25"/>
  <c r="CL6" i="25"/>
  <c r="EP6" i="25"/>
  <c r="EP32" i="25"/>
  <c r="AF53" i="66"/>
  <c r="EP33" i="25"/>
  <c r="AF53" i="63"/>
  <c r="EP34" i="25"/>
  <c r="AF53" i="55"/>
  <c r="AH7" i="25"/>
  <c r="AV7" i="25"/>
  <c r="BX7" i="25"/>
  <c r="CL7" i="25"/>
  <c r="EP7" i="25"/>
  <c r="AH8" i="25"/>
  <c r="AV8" i="25"/>
  <c r="BJ8" i="25"/>
  <c r="BX8" i="25"/>
  <c r="CL8" i="25"/>
  <c r="EP8" i="25"/>
  <c r="EP35" i="25"/>
  <c r="AF53" i="57"/>
  <c r="AH9" i="25"/>
  <c r="AV9" i="25"/>
  <c r="BJ9" i="25"/>
  <c r="BX9" i="25"/>
  <c r="CL9" i="25"/>
  <c r="EP9" i="25"/>
  <c r="EP36" i="25"/>
  <c r="AF53" i="59"/>
  <c r="AH10" i="25"/>
  <c r="AV10" i="25"/>
  <c r="BJ10" i="25"/>
  <c r="BX10" i="25"/>
  <c r="CL10" i="25"/>
  <c r="EP10" i="25"/>
  <c r="AH11" i="25"/>
  <c r="AV11" i="25"/>
  <c r="BJ11" i="25"/>
  <c r="BX11" i="25"/>
  <c r="CL11" i="25"/>
  <c r="EP11" i="25"/>
  <c r="EP37" i="25"/>
  <c r="AF53" i="58"/>
  <c r="AH12" i="25"/>
  <c r="AV12" i="25"/>
  <c r="BJ12" i="25"/>
  <c r="BX12" i="25"/>
  <c r="CL12" i="25"/>
  <c r="EP12" i="25"/>
  <c r="AH13" i="25"/>
  <c r="AV13" i="25"/>
  <c r="BJ13" i="25"/>
  <c r="BX13" i="25"/>
  <c r="CL13" i="25"/>
  <c r="EP13" i="25"/>
  <c r="AH14" i="25"/>
  <c r="AV14" i="25"/>
  <c r="BJ14" i="25"/>
  <c r="BX14" i="25"/>
  <c r="CL14" i="25"/>
  <c r="EP14" i="25"/>
  <c r="AH15" i="25"/>
  <c r="AV15" i="25"/>
  <c r="BJ15" i="25"/>
  <c r="BX15" i="25"/>
  <c r="CL15" i="25"/>
  <c r="EP15" i="25"/>
  <c r="AH16" i="25"/>
  <c r="AV16" i="25"/>
  <c r="BJ16" i="25"/>
  <c r="BX16" i="25"/>
  <c r="CL16" i="25"/>
  <c r="EP16" i="25"/>
  <c r="AH17" i="25"/>
  <c r="AV17" i="25"/>
  <c r="BJ17" i="25"/>
  <c r="BX17" i="25"/>
  <c r="CL17" i="25"/>
  <c r="EP17" i="25"/>
  <c r="AH18" i="25"/>
  <c r="AV18" i="25"/>
  <c r="BJ18" i="25"/>
  <c r="BX18" i="25"/>
  <c r="CL18" i="25"/>
  <c r="EP18" i="25"/>
  <c r="AH19" i="25"/>
  <c r="AV19" i="25"/>
  <c r="BJ19" i="25"/>
  <c r="BX19" i="25"/>
  <c r="CL19" i="25"/>
  <c r="EP19" i="25"/>
  <c r="AH20" i="25"/>
  <c r="AV20" i="25"/>
  <c r="BJ20" i="25"/>
  <c r="BX20" i="25"/>
  <c r="CL20" i="25"/>
  <c r="EP20" i="25"/>
  <c r="AH21" i="25"/>
  <c r="AV21" i="25"/>
  <c r="BJ21" i="25"/>
  <c r="BX21" i="25"/>
  <c r="CL21" i="25"/>
  <c r="EP21" i="25"/>
  <c r="AH22" i="25"/>
  <c r="AV22" i="25"/>
  <c r="BJ22" i="25"/>
  <c r="BX22" i="25"/>
  <c r="CL22" i="25"/>
  <c r="EP22" i="25"/>
  <c r="AH23" i="25"/>
  <c r="AV23" i="25"/>
  <c r="BJ23" i="25"/>
  <c r="BX23" i="25"/>
  <c r="CL23" i="25"/>
  <c r="EP23" i="25"/>
  <c r="AH24" i="25"/>
  <c r="AV24" i="25"/>
  <c r="BJ24" i="25"/>
  <c r="BX24" i="25"/>
  <c r="CL24" i="25"/>
  <c r="EP24" i="25"/>
  <c r="AH25" i="25"/>
  <c r="AV25" i="25"/>
  <c r="BJ25" i="25"/>
  <c r="BX25" i="25"/>
  <c r="CL25" i="25"/>
  <c r="EP25" i="25"/>
  <c r="AH26" i="25"/>
  <c r="AV26" i="25"/>
  <c r="BJ26" i="25"/>
  <c r="BX26" i="25"/>
  <c r="CL26" i="25"/>
  <c r="EP26" i="25"/>
  <c r="AH27" i="25"/>
  <c r="AV27" i="25"/>
  <c r="BJ27" i="25"/>
  <c r="BX27" i="25"/>
  <c r="CL27" i="25"/>
  <c r="EP27" i="25"/>
  <c r="AH28" i="25"/>
  <c r="AV28" i="25"/>
  <c r="BJ28" i="25"/>
  <c r="BX28" i="25"/>
  <c r="CL28" i="25"/>
  <c r="EP28" i="25"/>
  <c r="AH29" i="25"/>
  <c r="AV29" i="25"/>
  <c r="BJ29" i="25"/>
  <c r="BX29" i="25"/>
  <c r="CL29" i="25"/>
  <c r="EP29" i="25"/>
  <c r="EP38" i="25"/>
  <c r="EP46" i="25"/>
  <c r="AF12" i="60"/>
  <c r="AF53" i="60"/>
  <c r="EP40" i="25"/>
  <c r="AF53" i="61"/>
  <c r="EP41" i="25"/>
  <c r="AF53" i="62"/>
  <c r="AF53" i="14"/>
  <c r="AG53" i="14"/>
  <c r="G65" i="65"/>
  <c r="H65" i="65"/>
  <c r="U16" i="49"/>
  <c r="U14" i="49"/>
  <c r="U18" i="49"/>
  <c r="U19" i="49"/>
  <c r="U20" i="49"/>
  <c r="U21" i="49"/>
  <c r="U22" i="49"/>
  <c r="U23" i="49"/>
  <c r="U24" i="49"/>
  <c r="U25" i="49"/>
  <c r="U26" i="49"/>
  <c r="U17" i="49"/>
  <c r="U28" i="49"/>
  <c r="U29" i="49"/>
  <c r="U30" i="49"/>
  <c r="U27" i="49"/>
  <c r="U32" i="49"/>
  <c r="U33" i="49"/>
  <c r="U34" i="49"/>
  <c r="U31" i="49"/>
  <c r="U38" i="49"/>
  <c r="U39" i="49"/>
  <c r="U40" i="49"/>
  <c r="U41" i="49"/>
  <c r="U42" i="49"/>
  <c r="U43" i="49"/>
  <c r="U44" i="49"/>
  <c r="U45" i="49"/>
  <c r="U37" i="49"/>
  <c r="U46" i="49"/>
  <c r="U48" i="49"/>
  <c r="U5" i="49"/>
  <c r="U5" i="14"/>
  <c r="V16" i="49"/>
  <c r="V14" i="49"/>
  <c r="V18" i="49"/>
  <c r="V19" i="49"/>
  <c r="V20" i="49"/>
  <c r="V21" i="49"/>
  <c r="V22" i="49"/>
  <c r="V23" i="49"/>
  <c r="V24" i="49"/>
  <c r="V25" i="49"/>
  <c r="V26" i="49"/>
  <c r="V17" i="49"/>
  <c r="V28" i="49"/>
  <c r="V29" i="49"/>
  <c r="V30" i="49"/>
  <c r="V27" i="49"/>
  <c r="V32" i="49"/>
  <c r="V33" i="49"/>
  <c r="V34" i="49"/>
  <c r="V31" i="49"/>
  <c r="V38" i="49"/>
  <c r="V39" i="49"/>
  <c r="V40" i="49"/>
  <c r="V41" i="49"/>
  <c r="V42" i="49"/>
  <c r="V43" i="49"/>
  <c r="V44" i="49"/>
  <c r="V45" i="49"/>
  <c r="V37" i="49"/>
  <c r="V46" i="49"/>
  <c r="V48" i="49"/>
  <c r="V5" i="49"/>
  <c r="V5" i="14"/>
  <c r="S15" i="49"/>
  <c r="AI15" i="49"/>
  <c r="W15" i="49"/>
  <c r="W16" i="49"/>
  <c r="W14" i="49"/>
  <c r="W18" i="49"/>
  <c r="W19" i="49"/>
  <c r="W20" i="49"/>
  <c r="W21" i="49"/>
  <c r="W22" i="49"/>
  <c r="W23" i="49"/>
  <c r="W24" i="49"/>
  <c r="W25" i="49"/>
  <c r="W26" i="49"/>
  <c r="W17" i="49"/>
  <c r="W28" i="49"/>
  <c r="W29" i="49"/>
  <c r="W30" i="49"/>
  <c r="W27" i="49"/>
  <c r="W32" i="49"/>
  <c r="W33" i="49"/>
  <c r="W34" i="49"/>
  <c r="W31" i="49"/>
  <c r="W38" i="49"/>
  <c r="W39" i="49"/>
  <c r="W40" i="49"/>
  <c r="W41" i="49"/>
  <c r="W42" i="49"/>
  <c r="W43" i="49"/>
  <c r="W44" i="49"/>
  <c r="W45" i="49"/>
  <c r="W37" i="49"/>
  <c r="W46" i="49"/>
  <c r="W48" i="49"/>
  <c r="W5" i="49"/>
  <c r="W5" i="14"/>
  <c r="X16" i="49"/>
  <c r="X14" i="49"/>
  <c r="X18" i="49"/>
  <c r="X19" i="49"/>
  <c r="X20" i="49"/>
  <c r="X21" i="49"/>
  <c r="X22" i="49"/>
  <c r="X23" i="49"/>
  <c r="X24" i="49"/>
  <c r="X25" i="49"/>
  <c r="X26" i="49"/>
  <c r="X17" i="49"/>
  <c r="X28" i="49"/>
  <c r="X29" i="49"/>
  <c r="X30" i="49"/>
  <c r="X27" i="49"/>
  <c r="X32" i="49"/>
  <c r="X33" i="49"/>
  <c r="X34" i="49"/>
  <c r="X31" i="49"/>
  <c r="X38" i="49"/>
  <c r="X39" i="49"/>
  <c r="X40" i="49"/>
  <c r="X41" i="49"/>
  <c r="X42" i="49"/>
  <c r="X43" i="49"/>
  <c r="X44" i="49"/>
  <c r="X45" i="49"/>
  <c r="X37" i="49"/>
  <c r="X46" i="49"/>
  <c r="X48" i="49"/>
  <c r="X5" i="49"/>
  <c r="X5" i="14"/>
  <c r="Y16" i="49"/>
  <c r="Y14" i="49"/>
  <c r="Y18" i="49"/>
  <c r="Y19" i="49"/>
  <c r="Y20" i="49"/>
  <c r="Y21" i="49"/>
  <c r="Y22" i="49"/>
  <c r="Y23" i="49"/>
  <c r="Y24" i="49"/>
  <c r="Y25" i="49"/>
  <c r="Y26" i="49"/>
  <c r="Y17" i="49"/>
  <c r="Y28" i="49"/>
  <c r="Y29" i="49"/>
  <c r="Y30" i="49"/>
  <c r="Y27" i="49"/>
  <c r="Y32" i="49"/>
  <c r="Y33" i="49"/>
  <c r="Y34" i="49"/>
  <c r="Y31" i="49"/>
  <c r="Y38" i="49"/>
  <c r="Y39" i="49"/>
  <c r="Y40" i="49"/>
  <c r="Y41" i="49"/>
  <c r="Y42" i="49"/>
  <c r="Y43" i="49"/>
  <c r="Y44" i="49"/>
  <c r="Y45" i="49"/>
  <c r="Y37" i="49"/>
  <c r="Y46" i="49"/>
  <c r="Y48" i="49"/>
  <c r="Y5" i="49"/>
  <c r="Y5" i="14"/>
  <c r="Z15" i="49"/>
  <c r="Z16" i="49"/>
  <c r="Z14" i="49"/>
  <c r="Z18" i="49"/>
  <c r="Z19" i="49"/>
  <c r="Z20" i="49"/>
  <c r="Z21" i="49"/>
  <c r="Z22" i="49"/>
  <c r="Z23" i="49"/>
  <c r="Z24" i="49"/>
  <c r="Z25" i="49"/>
  <c r="Z26" i="49"/>
  <c r="Z17" i="49"/>
  <c r="Z28" i="49"/>
  <c r="Z29" i="49"/>
  <c r="Z30" i="49"/>
  <c r="Z27" i="49"/>
  <c r="Z32" i="49"/>
  <c r="Z33" i="49"/>
  <c r="Z34" i="49"/>
  <c r="Z35" i="49"/>
  <c r="Z31" i="49"/>
  <c r="Z38" i="49"/>
  <c r="Z39" i="49"/>
  <c r="Z40" i="49"/>
  <c r="Z41" i="49"/>
  <c r="Z42" i="49"/>
  <c r="Z43" i="49"/>
  <c r="Z44" i="49"/>
  <c r="Z45" i="49"/>
  <c r="Z37" i="49"/>
  <c r="Z46" i="49"/>
  <c r="Z48" i="49"/>
  <c r="Z5" i="49"/>
  <c r="Z5" i="14"/>
  <c r="AA16" i="49"/>
  <c r="AA14" i="49"/>
  <c r="AA18" i="49"/>
  <c r="AA19" i="49"/>
  <c r="AA20" i="49"/>
  <c r="AA21" i="49"/>
  <c r="AA22" i="49"/>
  <c r="AA23" i="49"/>
  <c r="AA24" i="49"/>
  <c r="AA25" i="49"/>
  <c r="AA26" i="49"/>
  <c r="AA17" i="49"/>
  <c r="AA28" i="49"/>
  <c r="AA29" i="49"/>
  <c r="AA30" i="49"/>
  <c r="AA27" i="49"/>
  <c r="AA32" i="49"/>
  <c r="AA33" i="49"/>
  <c r="AA34" i="49"/>
  <c r="AA31" i="49"/>
  <c r="AA38" i="49"/>
  <c r="AA39" i="49"/>
  <c r="AA40" i="49"/>
  <c r="AA41" i="49"/>
  <c r="AA42" i="49"/>
  <c r="AA43" i="49"/>
  <c r="AA44" i="49"/>
  <c r="AA45" i="49"/>
  <c r="AA37" i="49"/>
  <c r="AA46" i="49"/>
  <c r="AA48" i="49"/>
  <c r="AA5" i="49"/>
  <c r="AA5" i="14"/>
  <c r="AB16" i="49"/>
  <c r="AB14" i="49"/>
  <c r="AB18" i="49"/>
  <c r="AB19" i="49"/>
  <c r="AB20" i="49"/>
  <c r="AB21" i="49"/>
  <c r="AB22" i="49"/>
  <c r="AB23" i="49"/>
  <c r="AB24" i="49"/>
  <c r="AB25" i="49"/>
  <c r="AB26" i="49"/>
  <c r="AB17" i="49"/>
  <c r="AB28" i="49"/>
  <c r="AB29" i="49"/>
  <c r="AB30" i="49"/>
  <c r="AB27" i="49"/>
  <c r="AB32" i="49"/>
  <c r="AB33" i="49"/>
  <c r="AB34" i="49"/>
  <c r="AB31" i="49"/>
  <c r="AB38" i="49"/>
  <c r="AB39" i="49"/>
  <c r="AB40" i="49"/>
  <c r="AB41" i="49"/>
  <c r="AB42" i="49"/>
  <c r="AB43" i="49"/>
  <c r="AB44" i="49"/>
  <c r="AB45" i="49"/>
  <c r="AB37" i="49"/>
  <c r="AB46" i="49"/>
  <c r="AB48" i="49"/>
  <c r="AB5" i="49"/>
  <c r="AB5" i="14"/>
  <c r="AC15" i="49"/>
  <c r="AC16" i="49"/>
  <c r="AC14" i="49"/>
  <c r="AC18" i="49"/>
  <c r="AC19" i="49"/>
  <c r="AC20" i="49"/>
  <c r="AC21" i="49"/>
  <c r="AC22" i="49"/>
  <c r="AC23" i="49"/>
  <c r="AC24" i="49"/>
  <c r="AC25" i="49"/>
  <c r="AC26" i="49"/>
  <c r="AC17" i="49"/>
  <c r="AC28" i="49"/>
  <c r="AC29" i="49"/>
  <c r="AC30" i="49"/>
  <c r="AC27" i="49"/>
  <c r="AC32" i="49"/>
  <c r="AC33" i="49"/>
  <c r="AC34" i="49"/>
  <c r="AC31" i="49"/>
  <c r="AC38" i="49"/>
  <c r="AC39" i="49"/>
  <c r="AC40" i="49"/>
  <c r="AC41" i="49"/>
  <c r="AC42" i="49"/>
  <c r="AC43" i="49"/>
  <c r="AC44" i="49"/>
  <c r="AC45" i="49"/>
  <c r="AC37" i="49"/>
  <c r="AC46" i="49"/>
  <c r="AC48" i="49"/>
  <c r="AC5" i="49"/>
  <c r="AC5" i="14"/>
  <c r="AD16" i="49"/>
  <c r="AD14" i="49"/>
  <c r="AD18" i="49"/>
  <c r="AD19" i="49"/>
  <c r="AD20" i="49"/>
  <c r="AD21" i="49"/>
  <c r="AD22" i="49"/>
  <c r="AD23" i="49"/>
  <c r="AD24" i="49"/>
  <c r="AD25" i="49"/>
  <c r="AD26" i="49"/>
  <c r="AD17" i="49"/>
  <c r="AD28" i="49"/>
  <c r="AD29" i="49"/>
  <c r="AD30" i="49"/>
  <c r="AD27" i="49"/>
  <c r="AD32" i="49"/>
  <c r="AD33" i="49"/>
  <c r="AD34" i="49"/>
  <c r="AD31" i="49"/>
  <c r="AD38" i="49"/>
  <c r="AD39" i="49"/>
  <c r="AD40" i="49"/>
  <c r="AD41" i="49"/>
  <c r="AD42" i="49"/>
  <c r="AD43" i="49"/>
  <c r="AD44" i="49"/>
  <c r="AD45" i="49"/>
  <c r="AD37" i="49"/>
  <c r="AD46" i="49"/>
  <c r="AD48" i="49"/>
  <c r="AD5" i="49"/>
  <c r="AD5" i="14"/>
  <c r="AE16" i="49"/>
  <c r="AE14" i="49"/>
  <c r="AE18" i="49"/>
  <c r="AE19" i="49"/>
  <c r="AE20" i="49"/>
  <c r="AE21" i="49"/>
  <c r="AE22" i="49"/>
  <c r="AE23" i="49"/>
  <c r="AE24" i="49"/>
  <c r="AE25" i="49"/>
  <c r="AE26" i="49"/>
  <c r="AE17" i="49"/>
  <c r="AE28" i="49"/>
  <c r="AE29" i="49"/>
  <c r="AE30" i="49"/>
  <c r="AE27" i="49"/>
  <c r="AE32" i="49"/>
  <c r="AE33" i="49"/>
  <c r="AE34" i="49"/>
  <c r="AE31" i="49"/>
  <c r="AE38" i="49"/>
  <c r="AE39" i="49"/>
  <c r="AE40" i="49"/>
  <c r="AE41" i="49"/>
  <c r="AE42" i="49"/>
  <c r="AE43" i="49"/>
  <c r="AE44" i="49"/>
  <c r="AE45" i="49"/>
  <c r="AE37" i="49"/>
  <c r="AE46" i="49"/>
  <c r="AE48" i="49"/>
  <c r="AE5" i="49"/>
  <c r="AE5" i="14"/>
  <c r="AF16" i="49"/>
  <c r="AF14" i="49"/>
  <c r="AF18" i="49"/>
  <c r="AF19" i="49"/>
  <c r="AF20" i="49"/>
  <c r="AF21" i="49"/>
  <c r="AF22" i="49"/>
  <c r="AF23" i="49"/>
  <c r="AF24" i="49"/>
  <c r="AF25" i="49"/>
  <c r="AF26" i="49"/>
  <c r="AF17" i="49"/>
  <c r="AF28" i="49"/>
  <c r="AF29" i="49"/>
  <c r="AF30" i="49"/>
  <c r="AF27" i="49"/>
  <c r="AF32" i="49"/>
  <c r="AF33" i="49"/>
  <c r="AF34" i="49"/>
  <c r="AF31" i="49"/>
  <c r="AF38" i="49"/>
  <c r="AF39" i="49"/>
  <c r="AF40" i="49"/>
  <c r="AF41" i="49"/>
  <c r="AF42" i="49"/>
  <c r="AF43" i="49"/>
  <c r="AF44" i="49"/>
  <c r="AF45" i="49"/>
  <c r="AF37" i="49"/>
  <c r="AF46" i="49"/>
  <c r="AF48" i="49"/>
  <c r="AF5" i="49"/>
  <c r="AF5" i="14"/>
  <c r="AG5" i="14"/>
  <c r="G5" i="65"/>
  <c r="H5" i="65"/>
  <c r="H15" i="65"/>
  <c r="U13" i="51"/>
  <c r="U14" i="51"/>
  <c r="U15" i="51"/>
  <c r="U12" i="51"/>
  <c r="U17" i="51"/>
  <c r="U18" i="51"/>
  <c r="U19" i="51"/>
  <c r="U20" i="51"/>
  <c r="U21" i="51"/>
  <c r="U22" i="51"/>
  <c r="U23" i="51"/>
  <c r="U24" i="51"/>
  <c r="U16" i="51"/>
  <c r="U26" i="51"/>
  <c r="U25" i="51"/>
  <c r="U27" i="51"/>
  <c r="U29" i="51"/>
  <c r="U5" i="51"/>
  <c r="U7" i="14"/>
  <c r="U12" i="53"/>
  <c r="U13" i="53"/>
  <c r="U14" i="53"/>
  <c r="U15" i="53"/>
  <c r="U16" i="53"/>
  <c r="U17" i="53"/>
  <c r="U18" i="53"/>
  <c r="U20" i="53"/>
  <c r="U5" i="53"/>
  <c r="U8" i="14"/>
  <c r="U35" i="52"/>
  <c r="U36" i="52"/>
  <c r="S15" i="52"/>
  <c r="U15" i="52"/>
  <c r="S18" i="52"/>
  <c r="U18" i="52"/>
  <c r="U21" i="52"/>
  <c r="U24" i="52"/>
  <c r="U27" i="52"/>
  <c r="U30" i="52"/>
  <c r="U33" i="52"/>
  <c r="U5" i="52"/>
  <c r="U6" i="14"/>
  <c r="V13" i="51"/>
  <c r="V14" i="51"/>
  <c r="V15" i="51"/>
  <c r="V12" i="51"/>
  <c r="V17" i="51"/>
  <c r="V18" i="51"/>
  <c r="V19" i="51"/>
  <c r="V20" i="51"/>
  <c r="V21" i="51"/>
  <c r="V22" i="51"/>
  <c r="V23" i="51"/>
  <c r="V24" i="51"/>
  <c r="V16" i="51"/>
  <c r="V26" i="51"/>
  <c r="V25" i="51"/>
  <c r="V27" i="51"/>
  <c r="V29" i="51"/>
  <c r="V5" i="51"/>
  <c r="V7" i="14"/>
  <c r="V12" i="53"/>
  <c r="V13" i="53"/>
  <c r="V14" i="53"/>
  <c r="V15" i="53"/>
  <c r="V16" i="53"/>
  <c r="V17" i="53"/>
  <c r="V18" i="53"/>
  <c r="V20" i="53"/>
  <c r="V5" i="53"/>
  <c r="V8" i="14"/>
  <c r="V35" i="52"/>
  <c r="V36" i="52"/>
  <c r="V15" i="52"/>
  <c r="V18" i="52"/>
  <c r="V21" i="52"/>
  <c r="V24" i="52"/>
  <c r="V27" i="52"/>
  <c r="V30" i="52"/>
  <c r="V33" i="52"/>
  <c r="V5" i="52"/>
  <c r="V6" i="14"/>
  <c r="W13" i="51"/>
  <c r="W14" i="51"/>
  <c r="W15" i="51"/>
  <c r="W12" i="51"/>
  <c r="W17" i="51"/>
  <c r="W18" i="51"/>
  <c r="W19" i="51"/>
  <c r="W20" i="51"/>
  <c r="W21" i="51"/>
  <c r="W22" i="51"/>
  <c r="W23" i="51"/>
  <c r="W24" i="51"/>
  <c r="W16" i="51"/>
  <c r="W26" i="51"/>
  <c r="W25" i="51"/>
  <c r="W27" i="51"/>
  <c r="W29" i="51"/>
  <c r="W5" i="51"/>
  <c r="W7" i="14"/>
  <c r="W12" i="53"/>
  <c r="W13" i="53"/>
  <c r="W14" i="53"/>
  <c r="W15" i="53"/>
  <c r="W16" i="53"/>
  <c r="W17" i="53"/>
  <c r="W18" i="53"/>
  <c r="W20" i="53"/>
  <c r="W5" i="53"/>
  <c r="W8" i="14"/>
  <c r="W35" i="52"/>
  <c r="W36" i="52"/>
  <c r="W15" i="52"/>
  <c r="W18" i="52"/>
  <c r="W21" i="52"/>
  <c r="W24" i="52"/>
  <c r="W27" i="52"/>
  <c r="W30" i="52"/>
  <c r="W33" i="52"/>
  <c r="W5" i="52"/>
  <c r="W6" i="14"/>
  <c r="X13" i="51"/>
  <c r="X14" i="51"/>
  <c r="X15" i="51"/>
  <c r="X12" i="51"/>
  <c r="X17" i="51"/>
  <c r="X18" i="51"/>
  <c r="X19" i="51"/>
  <c r="X20" i="51"/>
  <c r="X21" i="51"/>
  <c r="X22" i="51"/>
  <c r="X23" i="51"/>
  <c r="X24" i="51"/>
  <c r="X16" i="51"/>
  <c r="X26" i="51"/>
  <c r="X25" i="51"/>
  <c r="X27" i="51"/>
  <c r="X29" i="51"/>
  <c r="X5" i="51"/>
  <c r="X7" i="14"/>
  <c r="X12" i="53"/>
  <c r="X13" i="53"/>
  <c r="X14" i="53"/>
  <c r="X15" i="53"/>
  <c r="X16" i="53"/>
  <c r="X17" i="53"/>
  <c r="X18" i="53"/>
  <c r="X20" i="53"/>
  <c r="X5" i="53"/>
  <c r="X8" i="14"/>
  <c r="X35" i="52"/>
  <c r="X36" i="52"/>
  <c r="X15" i="52"/>
  <c r="X18" i="52"/>
  <c r="X21" i="52"/>
  <c r="X24" i="52"/>
  <c r="X27" i="52"/>
  <c r="X30" i="52"/>
  <c r="X33" i="52"/>
  <c r="X5" i="52"/>
  <c r="X6" i="14"/>
  <c r="Y13" i="51"/>
  <c r="Y14" i="51"/>
  <c r="Y15" i="51"/>
  <c r="Y12" i="51"/>
  <c r="Y17" i="51"/>
  <c r="Y18" i="51"/>
  <c r="Y19" i="51"/>
  <c r="Y20" i="51"/>
  <c r="Y21" i="51"/>
  <c r="Y22" i="51"/>
  <c r="Y23" i="51"/>
  <c r="Y24" i="51"/>
  <c r="Y16" i="51"/>
  <c r="Y25" i="51"/>
  <c r="Y27" i="51"/>
  <c r="Y29" i="51"/>
  <c r="Y5" i="51"/>
  <c r="Y7" i="14"/>
  <c r="Y12" i="53"/>
  <c r="Y13" i="53"/>
  <c r="Y14" i="53"/>
  <c r="Y15" i="53"/>
  <c r="Y16" i="53"/>
  <c r="Y17" i="53"/>
  <c r="Y18" i="53"/>
  <c r="Y20" i="53"/>
  <c r="Y5" i="53"/>
  <c r="Y8" i="14"/>
  <c r="Y35" i="52"/>
  <c r="Y36" i="52"/>
  <c r="Y15" i="52"/>
  <c r="Y18" i="52"/>
  <c r="Y21" i="52"/>
  <c r="Y24" i="52"/>
  <c r="Y27" i="52"/>
  <c r="Y30" i="52"/>
  <c r="Y33" i="52"/>
  <c r="Y5" i="52"/>
  <c r="Y6" i="14"/>
  <c r="Z13" i="51"/>
  <c r="Z14" i="51"/>
  <c r="Z15" i="51"/>
  <c r="Z12" i="51"/>
  <c r="Z17" i="51"/>
  <c r="Z18" i="51"/>
  <c r="Z19" i="51"/>
  <c r="Z20" i="51"/>
  <c r="Z21" i="51"/>
  <c r="Z22" i="51"/>
  <c r="Z23" i="51"/>
  <c r="Z24" i="51"/>
  <c r="Z16" i="51"/>
  <c r="Z26" i="51"/>
  <c r="Z25" i="51"/>
  <c r="Z27" i="51"/>
  <c r="Z29" i="51"/>
  <c r="Z5" i="51"/>
  <c r="Z7" i="14"/>
  <c r="Z12" i="53"/>
  <c r="Z13" i="53"/>
  <c r="Z14" i="53"/>
  <c r="Z15" i="53"/>
  <c r="Z16" i="53"/>
  <c r="Z17" i="53"/>
  <c r="Z18" i="53"/>
  <c r="Z20" i="53"/>
  <c r="Z5" i="53"/>
  <c r="Z8" i="14"/>
  <c r="Z35" i="52"/>
  <c r="Z36" i="52"/>
  <c r="Z15" i="52"/>
  <c r="Z18" i="52"/>
  <c r="Z21" i="52"/>
  <c r="Z24" i="52"/>
  <c r="Z27" i="52"/>
  <c r="Z30" i="52"/>
  <c r="Z33" i="52"/>
  <c r="Z5" i="52"/>
  <c r="Z6" i="14"/>
  <c r="AA13" i="51"/>
  <c r="AA14" i="51"/>
  <c r="AA15" i="51"/>
  <c r="AA12" i="51"/>
  <c r="AA17" i="51"/>
  <c r="AA18" i="51"/>
  <c r="AA19" i="51"/>
  <c r="AA20" i="51"/>
  <c r="AA21" i="51"/>
  <c r="AA22" i="51"/>
  <c r="AA23" i="51"/>
  <c r="AA24" i="51"/>
  <c r="AA16" i="51"/>
  <c r="AA26" i="51"/>
  <c r="AA25" i="51"/>
  <c r="AA27" i="51"/>
  <c r="AA29" i="51"/>
  <c r="AA5" i="51"/>
  <c r="AA7" i="14"/>
  <c r="AA12" i="53"/>
  <c r="AA13" i="53"/>
  <c r="AA14" i="53"/>
  <c r="AA15" i="53"/>
  <c r="AA16" i="53"/>
  <c r="AA17" i="53"/>
  <c r="AA18" i="53"/>
  <c r="AA20" i="53"/>
  <c r="AA5" i="53"/>
  <c r="AA8" i="14"/>
  <c r="AA35" i="52"/>
  <c r="AA36" i="52"/>
  <c r="AA15" i="52"/>
  <c r="AA18" i="52"/>
  <c r="AA21" i="52"/>
  <c r="AA24" i="52"/>
  <c r="AA27" i="52"/>
  <c r="AA30" i="52"/>
  <c r="AA33" i="52"/>
  <c r="AA5" i="52"/>
  <c r="AA6" i="14"/>
  <c r="AB13" i="51"/>
  <c r="AB14" i="51"/>
  <c r="AB15" i="51"/>
  <c r="AB12" i="51"/>
  <c r="AB17" i="51"/>
  <c r="AB18" i="51"/>
  <c r="AB19" i="51"/>
  <c r="AB20" i="51"/>
  <c r="AB21" i="51"/>
  <c r="AB22" i="51"/>
  <c r="AB23" i="51"/>
  <c r="AB24" i="51"/>
  <c r="AB16" i="51"/>
  <c r="AB26" i="51"/>
  <c r="AB25" i="51"/>
  <c r="AB27" i="51"/>
  <c r="AB29" i="51"/>
  <c r="AB5" i="51"/>
  <c r="AB7" i="14"/>
  <c r="AB12" i="53"/>
  <c r="AB13" i="53"/>
  <c r="AB14" i="53"/>
  <c r="AB15" i="53"/>
  <c r="AB16" i="53"/>
  <c r="AB17" i="53"/>
  <c r="AB18" i="53"/>
  <c r="AB20" i="53"/>
  <c r="AB5" i="53"/>
  <c r="AB8" i="14"/>
  <c r="AB35" i="52"/>
  <c r="AB36" i="52"/>
  <c r="AB15" i="52"/>
  <c r="AB18" i="52"/>
  <c r="AB21" i="52"/>
  <c r="AB24" i="52"/>
  <c r="AB27" i="52"/>
  <c r="AB30" i="52"/>
  <c r="AB33" i="52"/>
  <c r="AB5" i="52"/>
  <c r="AB6" i="14"/>
  <c r="AC13" i="51"/>
  <c r="AC14" i="51"/>
  <c r="AC15" i="51"/>
  <c r="AC12" i="51"/>
  <c r="AC17" i="51"/>
  <c r="AC18" i="51"/>
  <c r="AC19" i="51"/>
  <c r="AC20" i="51"/>
  <c r="AC21" i="51"/>
  <c r="AC22" i="51"/>
  <c r="AC23" i="51"/>
  <c r="AC24" i="51"/>
  <c r="AC16" i="51"/>
  <c r="AC26" i="51"/>
  <c r="AC25" i="51"/>
  <c r="AC27" i="51"/>
  <c r="AC29" i="51"/>
  <c r="AC5" i="51"/>
  <c r="AC7" i="14"/>
  <c r="AC12" i="53"/>
  <c r="AC13" i="53"/>
  <c r="AC14" i="53"/>
  <c r="AC15" i="53"/>
  <c r="AC16" i="53"/>
  <c r="AC17" i="53"/>
  <c r="AC18" i="53"/>
  <c r="AC20" i="53"/>
  <c r="AC5" i="53"/>
  <c r="AC8" i="14"/>
  <c r="AC35" i="52"/>
  <c r="AC36" i="52"/>
  <c r="AC15" i="52"/>
  <c r="AC18" i="52"/>
  <c r="AC21" i="52"/>
  <c r="AC24" i="52"/>
  <c r="AC27" i="52"/>
  <c r="AC30" i="52"/>
  <c r="AC33" i="52"/>
  <c r="AC5" i="52"/>
  <c r="AC6" i="14"/>
  <c r="AD13" i="51"/>
  <c r="AD14" i="51"/>
  <c r="P15" i="51"/>
  <c r="AD15" i="51"/>
  <c r="AD12" i="51"/>
  <c r="AD17" i="51"/>
  <c r="AD18" i="51"/>
  <c r="AD19" i="51"/>
  <c r="AD20" i="51"/>
  <c r="AD21" i="51"/>
  <c r="AD22" i="51"/>
  <c r="AD23" i="51"/>
  <c r="AD24" i="51"/>
  <c r="AD16" i="51"/>
  <c r="AD26" i="51"/>
  <c r="AD25" i="51"/>
  <c r="AD27" i="51"/>
  <c r="AD29" i="51"/>
  <c r="AD5" i="51"/>
  <c r="AD7" i="14"/>
  <c r="AD12" i="53"/>
  <c r="AD13" i="53"/>
  <c r="AD14" i="53"/>
  <c r="AD15" i="53"/>
  <c r="AD16" i="53"/>
  <c r="AD17" i="53"/>
  <c r="AD18" i="53"/>
  <c r="AD20" i="53"/>
  <c r="AD5" i="53"/>
  <c r="AD8" i="14"/>
  <c r="AD35" i="52"/>
  <c r="AD36" i="52"/>
  <c r="AD15" i="52"/>
  <c r="AD18" i="52"/>
  <c r="AD21" i="52"/>
  <c r="AD24" i="52"/>
  <c r="AD27" i="52"/>
  <c r="AD30" i="52"/>
  <c r="AD33" i="52"/>
  <c r="AD5" i="52"/>
  <c r="AD6" i="14"/>
  <c r="AE13" i="51"/>
  <c r="AE14" i="51"/>
  <c r="AE15" i="51"/>
  <c r="AE12" i="51"/>
  <c r="AE17" i="51"/>
  <c r="AE18" i="51"/>
  <c r="AE19" i="51"/>
  <c r="AE20" i="51"/>
  <c r="AE21" i="51"/>
  <c r="AE22" i="51"/>
  <c r="AE23" i="51"/>
  <c r="AE24" i="51"/>
  <c r="AE16" i="51"/>
  <c r="AE26" i="51"/>
  <c r="AE25" i="51"/>
  <c r="AE27" i="51"/>
  <c r="AE29" i="51"/>
  <c r="AE5" i="51"/>
  <c r="AE7" i="14"/>
  <c r="AE12" i="53"/>
  <c r="AE13" i="53"/>
  <c r="AE14" i="53"/>
  <c r="AE15" i="53"/>
  <c r="AE16" i="53"/>
  <c r="AE17" i="53"/>
  <c r="AE18" i="53"/>
  <c r="AE20" i="53"/>
  <c r="AE5" i="53"/>
  <c r="AE8" i="14"/>
  <c r="AE35" i="52"/>
  <c r="AE36" i="52"/>
  <c r="AE15" i="52"/>
  <c r="AE18" i="52"/>
  <c r="AE21" i="52"/>
  <c r="AE24" i="52"/>
  <c r="AE27" i="52"/>
  <c r="AE30" i="52"/>
  <c r="AE33" i="52"/>
  <c r="AE5" i="52"/>
  <c r="AE6" i="14"/>
  <c r="AF13" i="51"/>
  <c r="AF14" i="51"/>
  <c r="AF15" i="51"/>
  <c r="AF12" i="51"/>
  <c r="AF17" i="51"/>
  <c r="AF18" i="51"/>
  <c r="AF19" i="51"/>
  <c r="AF20" i="51"/>
  <c r="AF21" i="51"/>
  <c r="AF22" i="51"/>
  <c r="AF23" i="51"/>
  <c r="AF24" i="51"/>
  <c r="AF16" i="51"/>
  <c r="AF26" i="51"/>
  <c r="AF25" i="51"/>
  <c r="AF27" i="51"/>
  <c r="AF29" i="51"/>
  <c r="AF5" i="51"/>
  <c r="AF7" i="14"/>
  <c r="AF12" i="53"/>
  <c r="AF13" i="53"/>
  <c r="AF14" i="53"/>
  <c r="AF15" i="53"/>
  <c r="AF16" i="53"/>
  <c r="AF17" i="53"/>
  <c r="AF18" i="53"/>
  <c r="AF20" i="53"/>
  <c r="AF5" i="53"/>
  <c r="AF8" i="14"/>
  <c r="AF35" i="52"/>
  <c r="AF36" i="52"/>
  <c r="AF15" i="52"/>
  <c r="AF18" i="52"/>
  <c r="AF21" i="52"/>
  <c r="AF24" i="52"/>
  <c r="AF27" i="52"/>
  <c r="AF30" i="52"/>
  <c r="AF33" i="52"/>
  <c r="AF5" i="52"/>
  <c r="AF6" i="14"/>
  <c r="AG6" i="14"/>
  <c r="G6" i="65"/>
  <c r="H6" i="65"/>
  <c r="H22" i="65"/>
  <c r="I65" i="65"/>
  <c r="I5" i="65"/>
  <c r="I15" i="65"/>
  <c r="I6" i="65"/>
  <c r="I22" i="65"/>
  <c r="J65" i="65"/>
  <c r="J5" i="65"/>
  <c r="J15" i="65"/>
  <c r="J6" i="65"/>
  <c r="J22" i="65"/>
  <c r="K65" i="65"/>
  <c r="K5" i="65"/>
  <c r="K15" i="65"/>
  <c r="K6" i="65"/>
  <c r="K22" i="65"/>
  <c r="AG7" i="14"/>
  <c r="G7" i="65"/>
  <c r="H7" i="65"/>
  <c r="AG8" i="14"/>
  <c r="G8" i="65"/>
  <c r="H8" i="65"/>
  <c r="X9" i="54"/>
  <c r="X15" i="54"/>
  <c r="X16" i="54"/>
  <c r="X24" i="54"/>
  <c r="X5" i="54"/>
  <c r="X9" i="14"/>
  <c r="Y9" i="54"/>
  <c r="Y15" i="54"/>
  <c r="Y16" i="54"/>
  <c r="Y24" i="54"/>
  <c r="Y5" i="54"/>
  <c r="Y9" i="14"/>
  <c r="Z9" i="54"/>
  <c r="Z15" i="54"/>
  <c r="Z16" i="54"/>
  <c r="Z24" i="54"/>
  <c r="Z5" i="54"/>
  <c r="Z9" i="14"/>
  <c r="AA9" i="54"/>
  <c r="AA15" i="54"/>
  <c r="AA16" i="54"/>
  <c r="AA24" i="54"/>
  <c r="AA5" i="54"/>
  <c r="AA9" i="14"/>
  <c r="AB9" i="54"/>
  <c r="AB15" i="54"/>
  <c r="AB16" i="54"/>
  <c r="AB24" i="54"/>
  <c r="AB5" i="54"/>
  <c r="AB9" i="14"/>
  <c r="AC9" i="54"/>
  <c r="AC15" i="54"/>
  <c r="AC16" i="54"/>
  <c r="AC24" i="54"/>
  <c r="AC5" i="54"/>
  <c r="AC9" i="14"/>
  <c r="AD9" i="54"/>
  <c r="AD15" i="54"/>
  <c r="AD16" i="54"/>
  <c r="AD24" i="54"/>
  <c r="AD5" i="54"/>
  <c r="AD9" i="14"/>
  <c r="AE9" i="54"/>
  <c r="AE15" i="54"/>
  <c r="AE16" i="54"/>
  <c r="AE24" i="54"/>
  <c r="AE5" i="54"/>
  <c r="AE9" i="14"/>
  <c r="AF9" i="54"/>
  <c r="AF15" i="54"/>
  <c r="AF16" i="54"/>
  <c r="AF24" i="54"/>
  <c r="AF5" i="54"/>
  <c r="AF9" i="14"/>
  <c r="U9" i="54"/>
  <c r="U15" i="54"/>
  <c r="U16" i="54"/>
  <c r="U24" i="54"/>
  <c r="U5" i="54"/>
  <c r="U9" i="14"/>
  <c r="V9" i="54"/>
  <c r="V15" i="54"/>
  <c r="V16" i="54"/>
  <c r="V24" i="54"/>
  <c r="V5" i="54"/>
  <c r="V9" i="14"/>
  <c r="W9" i="54"/>
  <c r="W15" i="54"/>
  <c r="W16" i="54"/>
  <c r="W24" i="54"/>
  <c r="W5" i="54"/>
  <c r="W9" i="14"/>
  <c r="AG9" i="14"/>
  <c r="G9" i="65"/>
  <c r="H9" i="65"/>
  <c r="H13" i="65"/>
  <c r="I7" i="65"/>
  <c r="I8" i="65"/>
  <c r="I9" i="65"/>
  <c r="I13" i="65"/>
  <c r="J7" i="65"/>
  <c r="J8" i="65"/>
  <c r="J9" i="65"/>
  <c r="J13" i="65"/>
  <c r="K7" i="65"/>
  <c r="K8" i="65"/>
  <c r="K9" i="65"/>
  <c r="K13" i="65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5" i="65"/>
  <c r="G12" i="51"/>
  <c r="G16" i="51"/>
  <c r="G25" i="51"/>
  <c r="G27" i="51"/>
  <c r="G29" i="51"/>
  <c r="G5" i="51"/>
  <c r="G7" i="14"/>
  <c r="G11" i="53"/>
  <c r="G18" i="53"/>
  <c r="G20" i="53"/>
  <c r="G5" i="53"/>
  <c r="G8" i="14"/>
  <c r="G35" i="52"/>
  <c r="G36" i="52"/>
  <c r="G39" i="52"/>
  <c r="G5" i="52"/>
  <c r="G6" i="14"/>
  <c r="H12" i="51"/>
  <c r="H16" i="51"/>
  <c r="H25" i="51"/>
  <c r="H27" i="51"/>
  <c r="H29" i="51"/>
  <c r="H5" i="51"/>
  <c r="H7" i="14"/>
  <c r="H11" i="53"/>
  <c r="H18" i="53"/>
  <c r="H20" i="53"/>
  <c r="H5" i="53"/>
  <c r="H8" i="14"/>
  <c r="H35" i="52"/>
  <c r="H36" i="52"/>
  <c r="H39" i="52"/>
  <c r="H5" i="52"/>
  <c r="H6" i="14"/>
  <c r="I12" i="51"/>
  <c r="I16" i="51"/>
  <c r="I25" i="51"/>
  <c r="I27" i="51"/>
  <c r="I29" i="51"/>
  <c r="I5" i="51"/>
  <c r="I7" i="14"/>
  <c r="I11" i="53"/>
  <c r="I18" i="53"/>
  <c r="I20" i="53"/>
  <c r="I5" i="53"/>
  <c r="I8" i="14"/>
  <c r="I35" i="52"/>
  <c r="I36" i="52"/>
  <c r="I39" i="52"/>
  <c r="I5" i="52"/>
  <c r="I6" i="14"/>
  <c r="J12" i="51"/>
  <c r="J16" i="51"/>
  <c r="J25" i="51"/>
  <c r="J27" i="51"/>
  <c r="J29" i="51"/>
  <c r="J5" i="51"/>
  <c r="J7" i="14"/>
  <c r="J11" i="53"/>
  <c r="J18" i="53"/>
  <c r="J20" i="53"/>
  <c r="J5" i="53"/>
  <c r="J8" i="14"/>
  <c r="J35" i="52"/>
  <c r="J36" i="52"/>
  <c r="J39" i="52"/>
  <c r="J5" i="52"/>
  <c r="J6" i="14"/>
  <c r="K12" i="51"/>
  <c r="K16" i="51"/>
  <c r="K25" i="51"/>
  <c r="K27" i="51"/>
  <c r="K29" i="51"/>
  <c r="K5" i="51"/>
  <c r="K7" i="14"/>
  <c r="K11" i="53"/>
  <c r="K18" i="53"/>
  <c r="K20" i="53"/>
  <c r="K5" i="53"/>
  <c r="K8" i="14"/>
  <c r="K35" i="52"/>
  <c r="K36" i="52"/>
  <c r="K39" i="52"/>
  <c r="K5" i="52"/>
  <c r="K6" i="14"/>
  <c r="L12" i="51"/>
  <c r="L16" i="51"/>
  <c r="L25" i="51"/>
  <c r="L27" i="51"/>
  <c r="L29" i="51"/>
  <c r="L5" i="51"/>
  <c r="L7" i="14"/>
  <c r="L11" i="53"/>
  <c r="L18" i="53"/>
  <c r="L20" i="53"/>
  <c r="L5" i="53"/>
  <c r="L8" i="14"/>
  <c r="L35" i="52"/>
  <c r="L36" i="52"/>
  <c r="L39" i="52"/>
  <c r="L5" i="52"/>
  <c r="L6" i="14"/>
  <c r="M12" i="51"/>
  <c r="M16" i="51"/>
  <c r="M25" i="51"/>
  <c r="M27" i="51"/>
  <c r="M29" i="51"/>
  <c r="M5" i="51"/>
  <c r="M7" i="14"/>
  <c r="M11" i="53"/>
  <c r="M18" i="53"/>
  <c r="M20" i="53"/>
  <c r="M5" i="53"/>
  <c r="M8" i="14"/>
  <c r="M35" i="52"/>
  <c r="M36" i="52"/>
  <c r="M39" i="52"/>
  <c r="M5" i="52"/>
  <c r="M6" i="14"/>
  <c r="N12" i="51"/>
  <c r="N16" i="51"/>
  <c r="N25" i="51"/>
  <c r="N27" i="51"/>
  <c r="N29" i="51"/>
  <c r="N5" i="51"/>
  <c r="N7" i="14"/>
  <c r="N11" i="53"/>
  <c r="N18" i="53"/>
  <c r="N20" i="53"/>
  <c r="N5" i="53"/>
  <c r="N8" i="14"/>
  <c r="N35" i="52"/>
  <c r="N36" i="52"/>
  <c r="N39" i="52"/>
  <c r="N5" i="52"/>
  <c r="N6" i="14"/>
  <c r="O12" i="51"/>
  <c r="O16" i="51"/>
  <c r="O25" i="51"/>
  <c r="O27" i="51"/>
  <c r="O29" i="51"/>
  <c r="O5" i="51"/>
  <c r="O7" i="14"/>
  <c r="O11" i="53"/>
  <c r="O18" i="53"/>
  <c r="O20" i="53"/>
  <c r="O5" i="53"/>
  <c r="O8" i="14"/>
  <c r="O35" i="52"/>
  <c r="O36" i="52"/>
  <c r="O39" i="52"/>
  <c r="O5" i="52"/>
  <c r="O6" i="14"/>
  <c r="P12" i="51"/>
  <c r="P16" i="51"/>
  <c r="P25" i="51"/>
  <c r="P27" i="51"/>
  <c r="P29" i="51"/>
  <c r="P5" i="51"/>
  <c r="P7" i="14"/>
  <c r="P18" i="53"/>
  <c r="P20" i="53"/>
  <c r="P5" i="53"/>
  <c r="P8" i="14"/>
  <c r="P35" i="52"/>
  <c r="P36" i="52"/>
  <c r="P39" i="52"/>
  <c r="P5" i="52"/>
  <c r="P6" i="14"/>
  <c r="Q12" i="51"/>
  <c r="Q16" i="51"/>
  <c r="Q25" i="51"/>
  <c r="Q27" i="51"/>
  <c r="Q29" i="51"/>
  <c r="Q5" i="51"/>
  <c r="Q7" i="14"/>
  <c r="Q18" i="53"/>
  <c r="Q20" i="53"/>
  <c r="Q5" i="53"/>
  <c r="Q8" i="14"/>
  <c r="Q35" i="52"/>
  <c r="Q36" i="52"/>
  <c r="Q39" i="52"/>
  <c r="Q5" i="52"/>
  <c r="Q6" i="14"/>
  <c r="R12" i="51"/>
  <c r="R16" i="51"/>
  <c r="R25" i="51"/>
  <c r="R27" i="51"/>
  <c r="R29" i="51"/>
  <c r="R5" i="51"/>
  <c r="R7" i="14"/>
  <c r="R18" i="53"/>
  <c r="R20" i="53"/>
  <c r="R5" i="53"/>
  <c r="R8" i="14"/>
  <c r="R35" i="52"/>
  <c r="R36" i="52"/>
  <c r="R39" i="52"/>
  <c r="R5" i="52"/>
  <c r="R6" i="14"/>
  <c r="S6" i="14"/>
  <c r="F6" i="65"/>
  <c r="S7" i="14"/>
  <c r="F7" i="65"/>
  <c r="S8" i="14"/>
  <c r="F8" i="65"/>
  <c r="G9" i="54"/>
  <c r="G15" i="54"/>
  <c r="G24" i="54"/>
  <c r="G5" i="54"/>
  <c r="G9" i="14"/>
  <c r="H9" i="54"/>
  <c r="H15" i="54"/>
  <c r="H24" i="54"/>
  <c r="H5" i="54"/>
  <c r="H9" i="14"/>
  <c r="I9" i="54"/>
  <c r="I15" i="54"/>
  <c r="I24" i="54"/>
  <c r="I5" i="54"/>
  <c r="I9" i="14"/>
  <c r="J9" i="54"/>
  <c r="J15" i="54"/>
  <c r="J24" i="54"/>
  <c r="J5" i="54"/>
  <c r="J9" i="14"/>
  <c r="K9" i="54"/>
  <c r="K15" i="54"/>
  <c r="K24" i="54"/>
  <c r="K5" i="54"/>
  <c r="K9" i="14"/>
  <c r="L9" i="54"/>
  <c r="L15" i="54"/>
  <c r="L24" i="54"/>
  <c r="L5" i="54"/>
  <c r="L9" i="14"/>
  <c r="M9" i="54"/>
  <c r="M15" i="54"/>
  <c r="M16" i="54"/>
  <c r="M24" i="54"/>
  <c r="M5" i="54"/>
  <c r="M9" i="14"/>
  <c r="N9" i="54"/>
  <c r="N15" i="54"/>
  <c r="N16" i="54"/>
  <c r="N24" i="54"/>
  <c r="N5" i="54"/>
  <c r="N9" i="14"/>
  <c r="O9" i="54"/>
  <c r="O15" i="54"/>
  <c r="O16" i="54"/>
  <c r="O24" i="54"/>
  <c r="O5" i="54"/>
  <c r="O9" i="14"/>
  <c r="P9" i="54"/>
  <c r="P15" i="54"/>
  <c r="P16" i="54"/>
  <c r="P24" i="54"/>
  <c r="P5" i="54"/>
  <c r="P9" i="14"/>
  <c r="Q9" i="54"/>
  <c r="Q15" i="54"/>
  <c r="Q16" i="54"/>
  <c r="Q24" i="54"/>
  <c r="Q5" i="54"/>
  <c r="Q9" i="14"/>
  <c r="R9" i="54"/>
  <c r="R15" i="54"/>
  <c r="R16" i="54"/>
  <c r="R24" i="54"/>
  <c r="R5" i="54"/>
  <c r="R9" i="14"/>
  <c r="S9" i="14"/>
  <c r="F9" i="65"/>
  <c r="F13" i="65"/>
  <c r="L13" i="65"/>
  <c r="D10" i="14"/>
  <c r="D14" i="14"/>
  <c r="D16" i="14"/>
  <c r="D18" i="14"/>
  <c r="D21" i="14"/>
  <c r="D27" i="14"/>
  <c r="D48" i="14"/>
  <c r="D39" i="14"/>
  <c r="D61" i="14"/>
  <c r="D64" i="14"/>
  <c r="D77" i="65"/>
  <c r="E10" i="14"/>
  <c r="E14" i="14"/>
  <c r="E16" i="14"/>
  <c r="E18" i="14"/>
  <c r="E21" i="14"/>
  <c r="E27" i="14"/>
  <c r="E48" i="14"/>
  <c r="E39" i="14"/>
  <c r="E61" i="14"/>
  <c r="E64" i="14"/>
  <c r="E77" i="65"/>
  <c r="G6" i="49"/>
  <c r="G11" i="14"/>
  <c r="H6" i="49"/>
  <c r="H11" i="14"/>
  <c r="I6" i="49"/>
  <c r="I11" i="14"/>
  <c r="J6" i="49"/>
  <c r="J11" i="14"/>
  <c r="K6" i="49"/>
  <c r="K11" i="14"/>
  <c r="L6" i="49"/>
  <c r="L11" i="14"/>
  <c r="M6" i="49"/>
  <c r="M11" i="14"/>
  <c r="N6" i="49"/>
  <c r="N11" i="14"/>
  <c r="O6" i="49"/>
  <c r="O11" i="14"/>
  <c r="P6" i="49"/>
  <c r="P11" i="14"/>
  <c r="Q6" i="49"/>
  <c r="Q11" i="14"/>
  <c r="R6" i="49"/>
  <c r="R11" i="14"/>
  <c r="S11" i="14"/>
  <c r="F14" i="65"/>
  <c r="G7" i="49"/>
  <c r="G12" i="14"/>
  <c r="H7" i="49"/>
  <c r="H12" i="14"/>
  <c r="I7" i="49"/>
  <c r="I12" i="14"/>
  <c r="J7" i="49"/>
  <c r="J12" i="14"/>
  <c r="K7" i="49"/>
  <c r="K12" i="14"/>
  <c r="L7" i="49"/>
  <c r="L12" i="14"/>
  <c r="M7" i="49"/>
  <c r="M12" i="14"/>
  <c r="N7" i="49"/>
  <c r="N12" i="14"/>
  <c r="O7" i="49"/>
  <c r="O12" i="14"/>
  <c r="P7" i="49"/>
  <c r="P12" i="14"/>
  <c r="Q7" i="49"/>
  <c r="Q12" i="14"/>
  <c r="R7" i="49"/>
  <c r="R12" i="14"/>
  <c r="S12" i="14"/>
  <c r="F15" i="65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6" i="65"/>
  <c r="F17" i="65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F21" i="65"/>
  <c r="G7" i="52"/>
  <c r="G16" i="14"/>
  <c r="H7" i="52"/>
  <c r="H16" i="14"/>
  <c r="I7" i="52"/>
  <c r="I16" i="14"/>
  <c r="J7" i="52"/>
  <c r="J16" i="14"/>
  <c r="K7" i="52"/>
  <c r="K16" i="14"/>
  <c r="L7" i="52"/>
  <c r="L16" i="14"/>
  <c r="M7" i="52"/>
  <c r="M16" i="14"/>
  <c r="N7" i="52"/>
  <c r="N16" i="14"/>
  <c r="O7" i="52"/>
  <c r="O16" i="14"/>
  <c r="P7" i="52"/>
  <c r="P16" i="14"/>
  <c r="Q7" i="52"/>
  <c r="Q16" i="14"/>
  <c r="R7" i="52"/>
  <c r="R16" i="14"/>
  <c r="S16" i="14"/>
  <c r="F22" i="65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F23" i="65"/>
  <c r="F24" i="65"/>
  <c r="G6" i="51"/>
  <c r="G19" i="14"/>
  <c r="H6" i="51"/>
  <c r="H19" i="14"/>
  <c r="I6" i="51"/>
  <c r="I19" i="14"/>
  <c r="J6" i="51"/>
  <c r="J19" i="14"/>
  <c r="K6" i="51"/>
  <c r="K19" i="14"/>
  <c r="L6" i="51"/>
  <c r="L19" i="14"/>
  <c r="M6" i="51"/>
  <c r="M19" i="14"/>
  <c r="N6" i="51"/>
  <c r="N19" i="14"/>
  <c r="O6" i="51"/>
  <c r="O19" i="14"/>
  <c r="P6" i="51"/>
  <c r="P19" i="14"/>
  <c r="Q6" i="51"/>
  <c r="Q19" i="14"/>
  <c r="R6" i="51"/>
  <c r="R19" i="14"/>
  <c r="S19" i="14"/>
  <c r="F27" i="65"/>
  <c r="G6" i="53"/>
  <c r="G20" i="14"/>
  <c r="H6" i="53"/>
  <c r="H20" i="14"/>
  <c r="I6" i="53"/>
  <c r="I20" i="14"/>
  <c r="J6" i="53"/>
  <c r="J20" i="14"/>
  <c r="K6" i="53"/>
  <c r="K20" i="14"/>
  <c r="L6" i="53"/>
  <c r="L20" i="14"/>
  <c r="M6" i="53"/>
  <c r="M20" i="14"/>
  <c r="N6" i="53"/>
  <c r="N20" i="14"/>
  <c r="O6" i="53"/>
  <c r="O20" i="14"/>
  <c r="P6" i="53"/>
  <c r="P20" i="14"/>
  <c r="Q6" i="53"/>
  <c r="Q20" i="14"/>
  <c r="R6" i="53"/>
  <c r="R20" i="14"/>
  <c r="S20" i="14"/>
  <c r="F28" i="65"/>
  <c r="F29" i="65"/>
  <c r="F35" i="65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F51" i="65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F52" i="65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F53" i="65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F54" i="65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F55" i="65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F56" i="65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F57" i="65"/>
  <c r="C15" i="41"/>
  <c r="C16" i="41"/>
  <c r="C17" i="41"/>
  <c r="C18" i="41"/>
  <c r="G19" i="41"/>
  <c r="G26" i="41"/>
  <c r="G49" i="41"/>
  <c r="G55" i="41"/>
  <c r="G69" i="41"/>
  <c r="G47" i="14"/>
  <c r="H26" i="41"/>
  <c r="H55" i="41"/>
  <c r="H69" i="41"/>
  <c r="H47" i="14"/>
  <c r="I26" i="41"/>
  <c r="I55" i="41"/>
  <c r="I69" i="41"/>
  <c r="I47" i="14"/>
  <c r="J26" i="41"/>
  <c r="J55" i="41"/>
  <c r="J69" i="41"/>
  <c r="J47" i="14"/>
  <c r="K26" i="41"/>
  <c r="K55" i="41"/>
  <c r="K69" i="41"/>
  <c r="K47" i="14"/>
  <c r="L26" i="41"/>
  <c r="L55" i="41"/>
  <c r="L69" i="41"/>
  <c r="L47" i="14"/>
  <c r="M26" i="41"/>
  <c r="M55" i="41"/>
  <c r="M69" i="41"/>
  <c r="M47" i="14"/>
  <c r="N26" i="41"/>
  <c r="N55" i="41"/>
  <c r="N69" i="41"/>
  <c r="N47" i="14"/>
  <c r="O26" i="41"/>
  <c r="O55" i="41"/>
  <c r="O69" i="41"/>
  <c r="O47" i="14"/>
  <c r="P26" i="41"/>
  <c r="P55" i="41"/>
  <c r="P69" i="41"/>
  <c r="P47" i="14"/>
  <c r="Q26" i="41"/>
  <c r="Q55" i="41"/>
  <c r="Q69" i="41"/>
  <c r="Q47" i="14"/>
  <c r="R26" i="41"/>
  <c r="R55" i="41"/>
  <c r="R69" i="41"/>
  <c r="R47" i="14"/>
  <c r="S47" i="14"/>
  <c r="F58" i="65"/>
  <c r="F59" i="65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F44" i="65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F45" i="65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F46" i="65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F47" i="65"/>
  <c r="G59" i="41"/>
  <c r="G60" i="41"/>
  <c r="G61" i="41"/>
  <c r="G62" i="41"/>
  <c r="G63" i="41"/>
  <c r="G64" i="41"/>
  <c r="G68" i="41"/>
  <c r="G38" i="14"/>
  <c r="H59" i="41"/>
  <c r="H60" i="41"/>
  <c r="H61" i="41"/>
  <c r="H62" i="41"/>
  <c r="H63" i="41"/>
  <c r="H64" i="41"/>
  <c r="H68" i="41"/>
  <c r="H38" i="14"/>
  <c r="I59" i="41"/>
  <c r="I60" i="41"/>
  <c r="I61" i="41"/>
  <c r="I62" i="41"/>
  <c r="I63" i="41"/>
  <c r="I64" i="41"/>
  <c r="I68" i="41"/>
  <c r="I38" i="14"/>
  <c r="J59" i="41"/>
  <c r="J60" i="41"/>
  <c r="J61" i="41"/>
  <c r="J62" i="41"/>
  <c r="J63" i="41"/>
  <c r="J64" i="41"/>
  <c r="J68" i="41"/>
  <c r="J38" i="14"/>
  <c r="K59" i="41"/>
  <c r="K60" i="41"/>
  <c r="K61" i="41"/>
  <c r="K62" i="41"/>
  <c r="K63" i="41"/>
  <c r="K64" i="41"/>
  <c r="K68" i="41"/>
  <c r="K38" i="14"/>
  <c r="L59" i="41"/>
  <c r="L60" i="41"/>
  <c r="L61" i="41"/>
  <c r="L62" i="41"/>
  <c r="L63" i="41"/>
  <c r="L64" i="41"/>
  <c r="L68" i="41"/>
  <c r="L38" i="14"/>
  <c r="M59" i="41"/>
  <c r="M60" i="41"/>
  <c r="M61" i="41"/>
  <c r="M62" i="41"/>
  <c r="M63" i="41"/>
  <c r="M64" i="41"/>
  <c r="M68" i="41"/>
  <c r="M38" i="14"/>
  <c r="N59" i="41"/>
  <c r="N60" i="41"/>
  <c r="N61" i="41"/>
  <c r="N62" i="41"/>
  <c r="N63" i="41"/>
  <c r="N64" i="41"/>
  <c r="N68" i="41"/>
  <c r="N38" i="14"/>
  <c r="O59" i="41"/>
  <c r="O60" i="41"/>
  <c r="O61" i="41"/>
  <c r="O62" i="41"/>
  <c r="O63" i="41"/>
  <c r="O64" i="41"/>
  <c r="O68" i="41"/>
  <c r="O38" i="14"/>
  <c r="P59" i="41"/>
  <c r="P60" i="41"/>
  <c r="P61" i="41"/>
  <c r="P62" i="41"/>
  <c r="P63" i="41"/>
  <c r="P64" i="41"/>
  <c r="P68" i="41"/>
  <c r="P38" i="14"/>
  <c r="Q59" i="41"/>
  <c r="Q60" i="41"/>
  <c r="Q61" i="41"/>
  <c r="Q62" i="41"/>
  <c r="Q63" i="41"/>
  <c r="Q64" i="41"/>
  <c r="Q68" i="41"/>
  <c r="Q38" i="14"/>
  <c r="R59" i="41"/>
  <c r="R60" i="41"/>
  <c r="R61" i="41"/>
  <c r="R62" i="41"/>
  <c r="R63" i="41"/>
  <c r="R64" i="41"/>
  <c r="R68" i="41"/>
  <c r="R38" i="14"/>
  <c r="S38" i="14"/>
  <c r="F48" i="65"/>
  <c r="F49" i="65"/>
  <c r="S49" i="14"/>
  <c r="F61" i="65"/>
  <c r="S50" i="14"/>
  <c r="F62" i="65"/>
  <c r="S51" i="14"/>
  <c r="F63" i="65"/>
  <c r="S52" i="14"/>
  <c r="F64" i="65"/>
  <c r="S53" i="14"/>
  <c r="F65" i="65"/>
  <c r="S54" i="14"/>
  <c r="F66" i="65"/>
  <c r="S55" i="14"/>
  <c r="F67" i="65"/>
  <c r="S56" i="14"/>
  <c r="F68" i="65"/>
  <c r="E13" i="78"/>
  <c r="G57" i="14"/>
  <c r="F13" i="78"/>
  <c r="H57" i="14"/>
  <c r="G13" i="78"/>
  <c r="I57" i="14"/>
  <c r="H13" i="78"/>
  <c r="J57" i="14"/>
  <c r="I13" i="78"/>
  <c r="K57" i="14"/>
  <c r="J13" i="78"/>
  <c r="L57" i="14"/>
  <c r="K13" i="78"/>
  <c r="M57" i="14"/>
  <c r="L13" i="78"/>
  <c r="N57" i="14"/>
  <c r="M13" i="78"/>
  <c r="O57" i="14"/>
  <c r="N13" i="78"/>
  <c r="P57" i="14"/>
  <c r="O13" i="78"/>
  <c r="Q57" i="14"/>
  <c r="P13" i="78"/>
  <c r="R57" i="14"/>
  <c r="S57" i="14"/>
  <c r="F69" i="65"/>
  <c r="S58" i="14"/>
  <c r="F70" i="65"/>
  <c r="G53" i="41"/>
  <c r="G54" i="41"/>
  <c r="G56" i="41"/>
  <c r="G57" i="41"/>
  <c r="G58" i="41"/>
  <c r="G70" i="41"/>
  <c r="G59" i="14"/>
  <c r="H53" i="41"/>
  <c r="H54" i="41"/>
  <c r="H56" i="41"/>
  <c r="H57" i="41"/>
  <c r="H58" i="41"/>
  <c r="H70" i="41"/>
  <c r="H59" i="14"/>
  <c r="I53" i="41"/>
  <c r="I54" i="41"/>
  <c r="I56" i="41"/>
  <c r="I57" i="41"/>
  <c r="I58" i="41"/>
  <c r="I70" i="41"/>
  <c r="I59" i="14"/>
  <c r="J53" i="41"/>
  <c r="J54" i="41"/>
  <c r="J56" i="41"/>
  <c r="J57" i="41"/>
  <c r="J58" i="41"/>
  <c r="J70" i="41"/>
  <c r="J59" i="14"/>
  <c r="K53" i="41"/>
  <c r="K54" i="41"/>
  <c r="K56" i="41"/>
  <c r="K57" i="41"/>
  <c r="K58" i="41"/>
  <c r="K70" i="41"/>
  <c r="K59" i="14"/>
  <c r="L53" i="41"/>
  <c r="L54" i="41"/>
  <c r="L56" i="41"/>
  <c r="L57" i="41"/>
  <c r="L58" i="41"/>
  <c r="L70" i="41"/>
  <c r="L59" i="14"/>
  <c r="M53" i="41"/>
  <c r="M54" i="41"/>
  <c r="M56" i="41"/>
  <c r="M57" i="41"/>
  <c r="M58" i="41"/>
  <c r="M70" i="41"/>
  <c r="M59" i="14"/>
  <c r="N53" i="41"/>
  <c r="N54" i="41"/>
  <c r="N56" i="41"/>
  <c r="N57" i="41"/>
  <c r="N58" i="41"/>
  <c r="N70" i="41"/>
  <c r="N59" i="14"/>
  <c r="O53" i="41"/>
  <c r="O54" i="41"/>
  <c r="O56" i="41"/>
  <c r="O57" i="41"/>
  <c r="O58" i="41"/>
  <c r="O70" i="41"/>
  <c r="O59" i="14"/>
  <c r="P53" i="41"/>
  <c r="P54" i="41"/>
  <c r="P56" i="41"/>
  <c r="P57" i="41"/>
  <c r="P58" i="41"/>
  <c r="P70" i="41"/>
  <c r="P59" i="14"/>
  <c r="Q53" i="41"/>
  <c r="Q54" i="41"/>
  <c r="Q56" i="41"/>
  <c r="Q57" i="41"/>
  <c r="Q58" i="41"/>
  <c r="Q70" i="41"/>
  <c r="Q59" i="14"/>
  <c r="R53" i="41"/>
  <c r="R54" i="41"/>
  <c r="R56" i="41"/>
  <c r="R57" i="41"/>
  <c r="R58" i="41"/>
  <c r="R70" i="41"/>
  <c r="R59" i="14"/>
  <c r="S59" i="14"/>
  <c r="F71" i="65"/>
  <c r="S60" i="14"/>
  <c r="F72" i="65"/>
  <c r="F73" i="65"/>
  <c r="S63" i="14"/>
  <c r="F76" i="65"/>
  <c r="H62" i="14"/>
  <c r="I62" i="14"/>
  <c r="J62" i="14"/>
  <c r="K62" i="14"/>
  <c r="S62" i="14"/>
  <c r="F75" i="65"/>
  <c r="F77" i="65"/>
  <c r="G13" i="65"/>
  <c r="U6" i="49"/>
  <c r="U11" i="14"/>
  <c r="V6" i="49"/>
  <c r="V11" i="14"/>
  <c r="W6" i="49"/>
  <c r="W11" i="14"/>
  <c r="X6" i="49"/>
  <c r="X11" i="14"/>
  <c r="Y6" i="49"/>
  <c r="Y11" i="14"/>
  <c r="Z6" i="49"/>
  <c r="Z11" i="14"/>
  <c r="AA6" i="49"/>
  <c r="AA11" i="14"/>
  <c r="AB6" i="49"/>
  <c r="AB11" i="14"/>
  <c r="AC6" i="49"/>
  <c r="AC11" i="14"/>
  <c r="AD6" i="49"/>
  <c r="AD11" i="14"/>
  <c r="AE6" i="49"/>
  <c r="AE11" i="14"/>
  <c r="AF6" i="49"/>
  <c r="AF11" i="14"/>
  <c r="AG11" i="14"/>
  <c r="G14" i="65"/>
  <c r="U7" i="49"/>
  <c r="U12" i="14"/>
  <c r="V7" i="49"/>
  <c r="V12" i="14"/>
  <c r="W7" i="49"/>
  <c r="W12" i="14"/>
  <c r="X7" i="49"/>
  <c r="X12" i="14"/>
  <c r="Y7" i="49"/>
  <c r="Y12" i="14"/>
  <c r="Z7" i="49"/>
  <c r="Z12" i="14"/>
  <c r="AA7" i="49"/>
  <c r="AA12" i="14"/>
  <c r="AB7" i="49"/>
  <c r="AB12" i="14"/>
  <c r="AC7" i="49"/>
  <c r="AC12" i="14"/>
  <c r="AD7" i="49"/>
  <c r="AD12" i="14"/>
  <c r="AE7" i="49"/>
  <c r="AE12" i="14"/>
  <c r="AF7" i="49"/>
  <c r="AF12" i="14"/>
  <c r="AG12" i="14"/>
  <c r="G15" i="65"/>
  <c r="U8" i="49"/>
  <c r="U13" i="14"/>
  <c r="V8" i="49"/>
  <c r="V13" i="14"/>
  <c r="W8" i="49"/>
  <c r="W13" i="14"/>
  <c r="X8" i="49"/>
  <c r="X13" i="14"/>
  <c r="Y8" i="49"/>
  <c r="Y13" i="14"/>
  <c r="Z8" i="49"/>
  <c r="Z13" i="14"/>
  <c r="AA8" i="49"/>
  <c r="AA13" i="14"/>
  <c r="AB8" i="49"/>
  <c r="AB13" i="14"/>
  <c r="AC8" i="49"/>
  <c r="AC13" i="14"/>
  <c r="AD8" i="49"/>
  <c r="AD13" i="14"/>
  <c r="AE8" i="49"/>
  <c r="AE13" i="14"/>
  <c r="AF8" i="49"/>
  <c r="AF13" i="14"/>
  <c r="AG13" i="14"/>
  <c r="G16" i="65"/>
  <c r="G17" i="65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G21" i="65"/>
  <c r="EE42" i="25"/>
  <c r="EE43" i="25"/>
  <c r="EE39" i="25"/>
  <c r="EE47" i="25"/>
  <c r="U7" i="52"/>
  <c r="U16" i="14"/>
  <c r="EF42" i="25"/>
  <c r="EF43" i="25"/>
  <c r="EF39" i="25"/>
  <c r="EF47" i="25"/>
  <c r="V7" i="52"/>
  <c r="V16" i="14"/>
  <c r="EG42" i="25"/>
  <c r="EG43" i="25"/>
  <c r="EG39" i="25"/>
  <c r="EG47" i="25"/>
  <c r="W7" i="52"/>
  <c r="W16" i="14"/>
  <c r="EH42" i="25"/>
  <c r="EH43" i="25"/>
  <c r="EH39" i="25"/>
  <c r="EH47" i="25"/>
  <c r="X7" i="52"/>
  <c r="X16" i="14"/>
  <c r="EI42" i="25"/>
  <c r="EI43" i="25"/>
  <c r="EI39" i="25"/>
  <c r="EI47" i="25"/>
  <c r="Y7" i="52"/>
  <c r="Y16" i="14"/>
  <c r="EJ42" i="25"/>
  <c r="EJ43" i="25"/>
  <c r="EJ39" i="25"/>
  <c r="EJ47" i="25"/>
  <c r="Z7" i="52"/>
  <c r="Z16" i="14"/>
  <c r="EK42" i="25"/>
  <c r="EK43" i="25"/>
  <c r="EK39" i="25"/>
  <c r="EK47" i="25"/>
  <c r="AA7" i="52"/>
  <c r="AA16" i="14"/>
  <c r="EL42" i="25"/>
  <c r="EL43" i="25"/>
  <c r="EL39" i="25"/>
  <c r="EL47" i="25"/>
  <c r="AB7" i="52"/>
  <c r="AB16" i="14"/>
  <c r="EM42" i="25"/>
  <c r="EM43" i="25"/>
  <c r="EM39" i="25"/>
  <c r="EM47" i="25"/>
  <c r="AC7" i="52"/>
  <c r="AC16" i="14"/>
  <c r="EN42" i="25"/>
  <c r="EN43" i="25"/>
  <c r="EN39" i="25"/>
  <c r="EN47" i="25"/>
  <c r="AD7" i="52"/>
  <c r="AD16" i="14"/>
  <c r="EO42" i="25"/>
  <c r="EO43" i="25"/>
  <c r="EO39" i="25"/>
  <c r="EO47" i="25"/>
  <c r="AE7" i="52"/>
  <c r="AE16" i="14"/>
  <c r="EP42" i="25"/>
  <c r="EP43" i="25"/>
  <c r="EP39" i="25"/>
  <c r="EP47" i="25"/>
  <c r="AF7" i="52"/>
  <c r="AF16" i="14"/>
  <c r="AG16" i="14"/>
  <c r="G22" i="65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G23" i="65"/>
  <c r="G24" i="65"/>
  <c r="U7" i="51"/>
  <c r="U6" i="51"/>
  <c r="U19" i="14"/>
  <c r="V7" i="51"/>
  <c r="V6" i="51"/>
  <c r="V19" i="14"/>
  <c r="W7" i="51"/>
  <c r="W6" i="51"/>
  <c r="W19" i="14"/>
  <c r="X7" i="51"/>
  <c r="X6" i="51"/>
  <c r="X19" i="14"/>
  <c r="Y7" i="51"/>
  <c r="Y6" i="51"/>
  <c r="Y19" i="14"/>
  <c r="Z7" i="51"/>
  <c r="Z6" i="51"/>
  <c r="Z19" i="14"/>
  <c r="AA7" i="51"/>
  <c r="AA6" i="51"/>
  <c r="AA19" i="14"/>
  <c r="AB7" i="51"/>
  <c r="AB6" i="51"/>
  <c r="AB19" i="14"/>
  <c r="AC7" i="51"/>
  <c r="AC6" i="51"/>
  <c r="AC19" i="14"/>
  <c r="AD7" i="51"/>
  <c r="AD6" i="51"/>
  <c r="AD19" i="14"/>
  <c r="AE7" i="51"/>
  <c r="AE6" i="51"/>
  <c r="AE19" i="14"/>
  <c r="AF7" i="51"/>
  <c r="AF6" i="51"/>
  <c r="AF19" i="14"/>
  <c r="AG19" i="14"/>
  <c r="G27" i="65"/>
  <c r="U7" i="53"/>
  <c r="U6" i="53"/>
  <c r="U20" i="14"/>
  <c r="V7" i="53"/>
  <c r="V6" i="53"/>
  <c r="V20" i="14"/>
  <c r="W7" i="53"/>
  <c r="W6" i="53"/>
  <c r="W20" i="14"/>
  <c r="X7" i="53"/>
  <c r="X6" i="53"/>
  <c r="X20" i="14"/>
  <c r="Y7" i="53"/>
  <c r="Y6" i="53"/>
  <c r="Y20" i="14"/>
  <c r="Z7" i="53"/>
  <c r="Z6" i="53"/>
  <c r="Z20" i="14"/>
  <c r="AA7" i="53"/>
  <c r="AA6" i="53"/>
  <c r="AA20" i="14"/>
  <c r="AB7" i="53"/>
  <c r="AB6" i="53"/>
  <c r="AB20" i="14"/>
  <c r="AC7" i="53"/>
  <c r="AC6" i="53"/>
  <c r="AC20" i="14"/>
  <c r="AD7" i="53"/>
  <c r="AD6" i="53"/>
  <c r="AD20" i="14"/>
  <c r="AE7" i="53"/>
  <c r="AE6" i="53"/>
  <c r="AE20" i="14"/>
  <c r="AF7" i="53"/>
  <c r="AF6" i="53"/>
  <c r="AF20" i="14"/>
  <c r="AG20" i="14"/>
  <c r="G28" i="65"/>
  <c r="G29" i="65"/>
  <c r="G35" i="65"/>
  <c r="S40" i="55"/>
  <c r="U40" i="55"/>
  <c r="U40" i="14"/>
  <c r="V40" i="55"/>
  <c r="V40" i="14"/>
  <c r="W40" i="55"/>
  <c r="W40" i="14"/>
  <c r="X40" i="55"/>
  <c r="X40" i="14"/>
  <c r="Y40" i="55"/>
  <c r="Y40" i="14"/>
  <c r="Z40" i="55"/>
  <c r="Z40" i="14"/>
  <c r="AA40" i="55"/>
  <c r="AA40" i="14"/>
  <c r="AB40" i="55"/>
  <c r="AB40" i="14"/>
  <c r="AC40" i="55"/>
  <c r="AC40" i="14"/>
  <c r="AD40" i="55"/>
  <c r="AD40" i="14"/>
  <c r="AE40" i="55"/>
  <c r="AE40" i="14"/>
  <c r="AF40" i="55"/>
  <c r="AF40" i="14"/>
  <c r="AG40" i="14"/>
  <c r="G51" i="65"/>
  <c r="S41" i="55"/>
  <c r="U41" i="55"/>
  <c r="U41" i="14"/>
  <c r="V41" i="55"/>
  <c r="V41" i="14"/>
  <c r="W41" i="55"/>
  <c r="W41" i="14"/>
  <c r="X41" i="55"/>
  <c r="X41" i="14"/>
  <c r="Y41" i="55"/>
  <c r="Y41" i="14"/>
  <c r="Z41" i="55"/>
  <c r="Z41" i="14"/>
  <c r="AA41" i="55"/>
  <c r="AA41" i="14"/>
  <c r="AB41" i="55"/>
  <c r="AB41" i="14"/>
  <c r="AC41" i="55"/>
  <c r="AC41" i="14"/>
  <c r="AD41" i="55"/>
  <c r="AD41" i="14"/>
  <c r="AE41" i="55"/>
  <c r="AE41" i="14"/>
  <c r="AF41" i="55"/>
  <c r="AF41" i="14"/>
  <c r="AG41" i="14"/>
  <c r="G52" i="65"/>
  <c r="S42" i="55"/>
  <c r="U42" i="55"/>
  <c r="U42" i="14"/>
  <c r="V42" i="55"/>
  <c r="V42" i="14"/>
  <c r="W42" i="55"/>
  <c r="W42" i="14"/>
  <c r="X42" i="55"/>
  <c r="X42" i="14"/>
  <c r="Y42" i="55"/>
  <c r="Y42" i="14"/>
  <c r="Z42" i="55"/>
  <c r="Z42" i="14"/>
  <c r="AA42" i="55"/>
  <c r="AA42" i="14"/>
  <c r="AB42" i="55"/>
  <c r="AB42" i="14"/>
  <c r="AC42" i="55"/>
  <c r="AC42" i="14"/>
  <c r="AD42" i="55"/>
  <c r="AD42" i="14"/>
  <c r="AE42" i="55"/>
  <c r="AE42" i="14"/>
  <c r="AF42" i="55"/>
  <c r="AF42" i="14"/>
  <c r="AG42" i="14"/>
  <c r="G53" i="65"/>
  <c r="S43" i="55"/>
  <c r="U43" i="55"/>
  <c r="U43" i="14"/>
  <c r="V43" i="55"/>
  <c r="V43" i="14"/>
  <c r="W43" i="55"/>
  <c r="W43" i="14"/>
  <c r="X43" i="55"/>
  <c r="X43" i="14"/>
  <c r="Y43" i="55"/>
  <c r="Y43" i="14"/>
  <c r="Z43" i="55"/>
  <c r="Z43" i="14"/>
  <c r="AA43" i="55"/>
  <c r="AA43" i="14"/>
  <c r="AB43" i="55"/>
  <c r="AB43" i="14"/>
  <c r="AC43" i="55"/>
  <c r="AC43" i="14"/>
  <c r="AD43" i="55"/>
  <c r="AD43" i="14"/>
  <c r="AE43" i="55"/>
  <c r="AE43" i="14"/>
  <c r="AF43" i="55"/>
  <c r="AF43" i="14"/>
  <c r="AG43" i="14"/>
  <c r="G54" i="65"/>
  <c r="S44" i="55"/>
  <c r="U44" i="55"/>
  <c r="U44" i="14"/>
  <c r="V44" i="55"/>
  <c r="V44" i="14"/>
  <c r="W44" i="55"/>
  <c r="W44" i="14"/>
  <c r="X44" i="55"/>
  <c r="X44" i="14"/>
  <c r="Y44" i="55"/>
  <c r="Y44" i="14"/>
  <c r="Z44" i="55"/>
  <c r="Z44" i="14"/>
  <c r="AA44" i="55"/>
  <c r="AA44" i="14"/>
  <c r="AB44" i="55"/>
  <c r="AB44" i="14"/>
  <c r="AC44" i="55"/>
  <c r="AC44" i="14"/>
  <c r="AD44" i="55"/>
  <c r="AD44" i="14"/>
  <c r="AE44" i="55"/>
  <c r="AE44" i="14"/>
  <c r="AF44" i="55"/>
  <c r="AF44" i="14"/>
  <c r="AG44" i="14"/>
  <c r="G55" i="65"/>
  <c r="S45" i="55"/>
  <c r="U45" i="55"/>
  <c r="U45" i="14"/>
  <c r="V45" i="55"/>
  <c r="V45" i="14"/>
  <c r="W45" i="55"/>
  <c r="W45" i="14"/>
  <c r="X45" i="55"/>
  <c r="X45" i="14"/>
  <c r="Y45" i="55"/>
  <c r="Y45" i="14"/>
  <c r="Z45" i="55"/>
  <c r="Z45" i="14"/>
  <c r="AA45" i="55"/>
  <c r="AA45" i="14"/>
  <c r="AB45" i="55"/>
  <c r="AB45" i="14"/>
  <c r="AC45" i="55"/>
  <c r="AC45" i="14"/>
  <c r="AD45" i="55"/>
  <c r="AD45" i="14"/>
  <c r="AE45" i="55"/>
  <c r="AE45" i="14"/>
  <c r="AF45" i="55"/>
  <c r="AF45" i="14"/>
  <c r="AG45" i="14"/>
  <c r="G56" i="65"/>
  <c r="S46" i="55"/>
  <c r="U46" i="55"/>
  <c r="U46" i="14"/>
  <c r="V46" i="55"/>
  <c r="V46" i="14"/>
  <c r="W46" i="55"/>
  <c r="W46" i="14"/>
  <c r="X46" i="55"/>
  <c r="X46" i="14"/>
  <c r="Y46" i="55"/>
  <c r="Y46" i="14"/>
  <c r="Z46" i="55"/>
  <c r="Z46" i="14"/>
  <c r="AA46" i="55"/>
  <c r="AA46" i="14"/>
  <c r="AB46" i="55"/>
  <c r="AB46" i="14"/>
  <c r="AC46" i="55"/>
  <c r="AC46" i="14"/>
  <c r="AD46" i="55"/>
  <c r="AD46" i="14"/>
  <c r="AE46" i="55"/>
  <c r="AE46" i="14"/>
  <c r="AF46" i="55"/>
  <c r="AF46" i="14"/>
  <c r="AG46" i="14"/>
  <c r="G57" i="65"/>
  <c r="U25" i="41"/>
  <c r="U26" i="41"/>
  <c r="U29" i="41"/>
  <c r="U30" i="41"/>
  <c r="U19" i="41"/>
  <c r="U27" i="41"/>
  <c r="U28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5" i="41"/>
  <c r="U47" i="55"/>
  <c r="U47" i="14"/>
  <c r="V25" i="41"/>
  <c r="V26" i="41"/>
  <c r="V29" i="41"/>
  <c r="V30" i="41"/>
  <c r="V19" i="41"/>
  <c r="V27" i="41"/>
  <c r="V28" i="41"/>
  <c r="V31" i="41"/>
  <c r="V32" i="41"/>
  <c r="V33" i="41"/>
  <c r="V34" i="41"/>
  <c r="V35" i="41"/>
  <c r="V36" i="41"/>
  <c r="V37" i="41"/>
  <c r="V38" i="41"/>
  <c r="V39" i="41"/>
  <c r="V40" i="41"/>
  <c r="V41" i="41"/>
  <c r="V42" i="41"/>
  <c r="V43" i="41"/>
  <c r="V44" i="41"/>
  <c r="V45" i="41"/>
  <c r="V46" i="41"/>
  <c r="V47" i="41"/>
  <c r="V48" i="41"/>
  <c r="V49" i="41"/>
  <c r="V55" i="41"/>
  <c r="V47" i="55"/>
  <c r="V47" i="14"/>
  <c r="W25" i="41"/>
  <c r="W26" i="41"/>
  <c r="W29" i="41"/>
  <c r="W30" i="41"/>
  <c r="F18" i="41"/>
  <c r="E8" i="41"/>
  <c r="E18" i="41"/>
  <c r="W18" i="41"/>
  <c r="W19" i="41"/>
  <c r="W27" i="41"/>
  <c r="W28" i="41"/>
  <c r="W31" i="41"/>
  <c r="W32" i="41"/>
  <c r="W33" i="41"/>
  <c r="W34" i="41"/>
  <c r="W35" i="41"/>
  <c r="W36" i="41"/>
  <c r="W37" i="41"/>
  <c r="W38" i="41"/>
  <c r="W39" i="41"/>
  <c r="W40" i="41"/>
  <c r="W41" i="41"/>
  <c r="W42" i="41"/>
  <c r="W43" i="41"/>
  <c r="W44" i="41"/>
  <c r="W45" i="41"/>
  <c r="W46" i="41"/>
  <c r="W47" i="41"/>
  <c r="W48" i="41"/>
  <c r="W49" i="41"/>
  <c r="W55" i="41"/>
  <c r="W47" i="55"/>
  <c r="W47" i="14"/>
  <c r="X25" i="41"/>
  <c r="X26" i="41"/>
  <c r="X29" i="41"/>
  <c r="X30" i="41"/>
  <c r="X18" i="41"/>
  <c r="X19" i="41"/>
  <c r="X27" i="41"/>
  <c r="X28" i="41"/>
  <c r="X31" i="41"/>
  <c r="X32" i="41"/>
  <c r="X33" i="41"/>
  <c r="X34" i="41"/>
  <c r="X35" i="41"/>
  <c r="X36" i="41"/>
  <c r="X37" i="41"/>
  <c r="X38" i="41"/>
  <c r="X39" i="41"/>
  <c r="X40" i="41"/>
  <c r="X41" i="41"/>
  <c r="X42" i="41"/>
  <c r="X43" i="41"/>
  <c r="X44" i="41"/>
  <c r="X45" i="41"/>
  <c r="X46" i="41"/>
  <c r="X47" i="41"/>
  <c r="X48" i="41"/>
  <c r="X49" i="41"/>
  <c r="X55" i="41"/>
  <c r="X47" i="55"/>
  <c r="X47" i="14"/>
  <c r="Y25" i="41"/>
  <c r="Y26" i="41"/>
  <c r="Y29" i="41"/>
  <c r="Y30" i="41"/>
  <c r="Y18" i="41"/>
  <c r="Y19" i="41"/>
  <c r="Y27" i="41"/>
  <c r="Y28" i="41"/>
  <c r="Y31" i="41"/>
  <c r="Y32" i="41"/>
  <c r="Y33" i="41"/>
  <c r="Y34" i="41"/>
  <c r="Y35" i="41"/>
  <c r="Y36" i="41"/>
  <c r="Y37" i="41"/>
  <c r="Y38" i="41"/>
  <c r="Y39" i="41"/>
  <c r="Y40" i="41"/>
  <c r="Y41" i="41"/>
  <c r="Y42" i="41"/>
  <c r="Y43" i="41"/>
  <c r="Y44" i="41"/>
  <c r="Y45" i="41"/>
  <c r="Y46" i="41"/>
  <c r="Y47" i="41"/>
  <c r="Y48" i="41"/>
  <c r="Y49" i="41"/>
  <c r="Y55" i="41"/>
  <c r="Y47" i="55"/>
  <c r="Y47" i="14"/>
  <c r="F15" i="41"/>
  <c r="E15" i="41"/>
  <c r="Z15" i="41"/>
  <c r="F16" i="41"/>
  <c r="E16" i="41"/>
  <c r="Z16" i="41"/>
  <c r="Z25" i="41"/>
  <c r="Z26" i="41"/>
  <c r="Z18" i="41"/>
  <c r="Z19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41" i="41"/>
  <c r="Z42" i="41"/>
  <c r="Z43" i="41"/>
  <c r="Z44" i="41"/>
  <c r="Z45" i="41"/>
  <c r="Z46" i="41"/>
  <c r="Z47" i="41"/>
  <c r="Z48" i="41"/>
  <c r="Z49" i="41"/>
  <c r="Z55" i="41"/>
  <c r="Z47" i="55"/>
  <c r="Z47" i="14"/>
  <c r="AA15" i="41"/>
  <c r="AA16" i="41"/>
  <c r="AA25" i="41"/>
  <c r="AA26" i="41"/>
  <c r="AA18" i="41"/>
  <c r="AA19" i="41"/>
  <c r="AA27" i="41"/>
  <c r="AA28" i="41"/>
  <c r="AA29" i="41"/>
  <c r="AA30" i="41"/>
  <c r="AA31" i="41"/>
  <c r="AA32" i="41"/>
  <c r="AA33" i="41"/>
  <c r="AA34" i="41"/>
  <c r="AA35" i="41"/>
  <c r="AA36" i="41"/>
  <c r="AA37" i="41"/>
  <c r="AA38" i="41"/>
  <c r="AA39" i="41"/>
  <c r="AA40" i="41"/>
  <c r="AA41" i="41"/>
  <c r="AA42" i="41"/>
  <c r="AA43" i="41"/>
  <c r="AA44" i="41"/>
  <c r="AA45" i="41"/>
  <c r="AA46" i="41"/>
  <c r="AA47" i="41"/>
  <c r="AA48" i="41"/>
  <c r="AA49" i="41"/>
  <c r="AA55" i="41"/>
  <c r="AA47" i="55"/>
  <c r="AA47" i="14"/>
  <c r="AB15" i="41"/>
  <c r="AB16" i="41"/>
  <c r="AB25" i="41"/>
  <c r="AB26" i="41"/>
  <c r="AB18" i="41"/>
  <c r="AB19" i="41"/>
  <c r="AB27" i="41"/>
  <c r="AB28" i="41"/>
  <c r="AB29" i="41"/>
  <c r="AB30" i="41"/>
  <c r="AB31" i="41"/>
  <c r="AB32" i="41"/>
  <c r="AB33" i="41"/>
  <c r="AB34" i="41"/>
  <c r="AB35" i="41"/>
  <c r="AB36" i="41"/>
  <c r="AB37" i="41"/>
  <c r="AB38" i="41"/>
  <c r="AB39" i="41"/>
  <c r="AB40" i="41"/>
  <c r="AB41" i="41"/>
  <c r="AB42" i="41"/>
  <c r="AB43" i="41"/>
  <c r="AB44" i="41"/>
  <c r="AB45" i="41"/>
  <c r="AB46" i="41"/>
  <c r="AB47" i="41"/>
  <c r="AB48" i="41"/>
  <c r="AB49" i="41"/>
  <c r="AB55" i="41"/>
  <c r="AB47" i="55"/>
  <c r="AB47" i="14"/>
  <c r="AC15" i="41"/>
  <c r="AC16" i="41"/>
  <c r="AC25" i="41"/>
  <c r="AC26" i="41"/>
  <c r="F17" i="41"/>
  <c r="E17" i="41"/>
  <c r="AC17" i="41"/>
  <c r="AC18" i="41"/>
  <c r="AC19" i="41"/>
  <c r="AC27" i="41"/>
  <c r="AC28" i="41"/>
  <c r="AC29" i="41"/>
  <c r="AC30" i="41"/>
  <c r="AC31" i="41"/>
  <c r="AC32" i="41"/>
  <c r="AC33" i="41"/>
  <c r="AC34" i="41"/>
  <c r="AC35" i="41"/>
  <c r="AC36" i="41"/>
  <c r="AC37" i="41"/>
  <c r="AC38" i="41"/>
  <c r="AC39" i="41"/>
  <c r="AC40" i="41"/>
  <c r="AC41" i="41"/>
  <c r="AC42" i="41"/>
  <c r="AC43" i="41"/>
  <c r="AC44" i="41"/>
  <c r="AC45" i="41"/>
  <c r="AC46" i="41"/>
  <c r="AC47" i="41"/>
  <c r="AC48" i="41"/>
  <c r="AC49" i="41"/>
  <c r="AC55" i="41"/>
  <c r="AC47" i="55"/>
  <c r="AC47" i="14"/>
  <c r="AD15" i="41"/>
  <c r="AD16" i="41"/>
  <c r="AD25" i="41"/>
  <c r="AD26" i="41"/>
  <c r="AD17" i="41"/>
  <c r="AD18" i="41"/>
  <c r="AD19" i="41"/>
  <c r="AD27" i="41"/>
  <c r="AD28" i="41"/>
  <c r="AD29" i="41"/>
  <c r="AD30" i="41"/>
  <c r="AD31" i="41"/>
  <c r="AD32" i="41"/>
  <c r="AD33" i="41"/>
  <c r="AD34" i="41"/>
  <c r="AD35" i="41"/>
  <c r="AD36" i="41"/>
  <c r="AD37" i="41"/>
  <c r="AD38" i="41"/>
  <c r="AD39" i="41"/>
  <c r="AD40" i="41"/>
  <c r="AD41" i="41"/>
  <c r="AD42" i="41"/>
  <c r="AD43" i="41"/>
  <c r="AD44" i="41"/>
  <c r="AD45" i="41"/>
  <c r="AD46" i="41"/>
  <c r="AD47" i="41"/>
  <c r="AD48" i="41"/>
  <c r="AD49" i="41"/>
  <c r="AD55" i="41"/>
  <c r="AD47" i="55"/>
  <c r="AD47" i="14"/>
  <c r="AE15" i="41"/>
  <c r="AE16" i="41"/>
  <c r="AE25" i="41"/>
  <c r="AE26" i="41"/>
  <c r="AE17" i="41"/>
  <c r="AE18" i="41"/>
  <c r="AE19" i="41"/>
  <c r="AE27" i="41"/>
  <c r="AE28" i="41"/>
  <c r="AE29" i="41"/>
  <c r="AE30" i="41"/>
  <c r="AE31" i="41"/>
  <c r="AE32" i="41"/>
  <c r="AE33" i="41"/>
  <c r="AE34" i="41"/>
  <c r="AE35" i="41"/>
  <c r="AE36" i="41"/>
  <c r="AE37" i="41"/>
  <c r="AE38" i="41"/>
  <c r="AE39" i="41"/>
  <c r="AE40" i="41"/>
  <c r="AE41" i="41"/>
  <c r="AE42" i="41"/>
  <c r="AE43" i="41"/>
  <c r="AE44" i="41"/>
  <c r="AE45" i="41"/>
  <c r="AE46" i="41"/>
  <c r="AE47" i="41"/>
  <c r="AE48" i="41"/>
  <c r="AE49" i="41"/>
  <c r="AE55" i="41"/>
  <c r="AE47" i="55"/>
  <c r="AE47" i="14"/>
  <c r="AF15" i="41"/>
  <c r="AF16" i="41"/>
  <c r="AF25" i="41"/>
  <c r="AF26" i="41"/>
  <c r="AF17" i="41"/>
  <c r="AF18" i="41"/>
  <c r="AF19" i="41"/>
  <c r="AF27" i="41"/>
  <c r="AF28" i="41"/>
  <c r="AF29" i="41"/>
  <c r="AF30" i="41"/>
  <c r="AF31" i="41"/>
  <c r="AF32" i="41"/>
  <c r="AF33" i="41"/>
  <c r="AF34" i="41"/>
  <c r="AF35" i="41"/>
  <c r="AF36" i="41"/>
  <c r="AF37" i="41"/>
  <c r="AF38" i="41"/>
  <c r="AF39" i="41"/>
  <c r="AF40" i="41"/>
  <c r="AF41" i="41"/>
  <c r="AF42" i="41"/>
  <c r="AF43" i="41"/>
  <c r="AF44" i="41"/>
  <c r="AF45" i="41"/>
  <c r="AF46" i="41"/>
  <c r="AF47" i="41"/>
  <c r="AF48" i="41"/>
  <c r="AF49" i="41"/>
  <c r="AF55" i="41"/>
  <c r="AF47" i="55"/>
  <c r="AF47" i="14"/>
  <c r="AG47" i="14"/>
  <c r="G58" i="65"/>
  <c r="G59" i="65"/>
  <c r="V34" i="60"/>
  <c r="U34" i="60"/>
  <c r="U34" i="14"/>
  <c r="V34" i="14"/>
  <c r="W34" i="60"/>
  <c r="W34" i="14"/>
  <c r="X34" i="60"/>
  <c r="X34" i="14"/>
  <c r="Y34" i="60"/>
  <c r="Y34" i="14"/>
  <c r="Z34" i="60"/>
  <c r="Z34" i="14"/>
  <c r="AA34" i="60"/>
  <c r="AA34" i="14"/>
  <c r="AB34" i="60"/>
  <c r="AB34" i="14"/>
  <c r="AC34" i="60"/>
  <c r="AC34" i="14"/>
  <c r="AD34" i="60"/>
  <c r="AD34" i="14"/>
  <c r="AE34" i="60"/>
  <c r="AE34" i="14"/>
  <c r="AF34" i="60"/>
  <c r="AF34" i="14"/>
  <c r="AG34" i="14"/>
  <c r="G44" i="65"/>
  <c r="U35" i="60"/>
  <c r="U35" i="14"/>
  <c r="V35" i="60"/>
  <c r="V35" i="14"/>
  <c r="W35" i="60"/>
  <c r="W35" i="14"/>
  <c r="X35" i="60"/>
  <c r="X35" i="14"/>
  <c r="Y35" i="60"/>
  <c r="Y35" i="14"/>
  <c r="Z35" i="60"/>
  <c r="Z35" i="14"/>
  <c r="AA35" i="60"/>
  <c r="AA35" i="14"/>
  <c r="AB35" i="60"/>
  <c r="AB35" i="14"/>
  <c r="AC35" i="60"/>
  <c r="AC35" i="14"/>
  <c r="AD35" i="60"/>
  <c r="AD35" i="14"/>
  <c r="AE35" i="60"/>
  <c r="AE35" i="14"/>
  <c r="AF35" i="60"/>
  <c r="AF35" i="14"/>
  <c r="AG35" i="14"/>
  <c r="G45" i="65"/>
  <c r="U36" i="60" a="1"/>
  <c r="U36" i="60"/>
  <c r="U36" i="14"/>
  <c r="V36" i="60"/>
  <c r="V36" i="14"/>
  <c r="W36" i="60"/>
  <c r="W36" i="14"/>
  <c r="X36" i="60"/>
  <c r="X36" i="14"/>
  <c r="Y36" i="60"/>
  <c r="Y36" i="14"/>
  <c r="Z36" i="60"/>
  <c r="Z36" i="14"/>
  <c r="AA36" i="60"/>
  <c r="AA36" i="14"/>
  <c r="AB36" i="60"/>
  <c r="AB36" i="14"/>
  <c r="AC36" i="60"/>
  <c r="AC36" i="14"/>
  <c r="AD36" i="60"/>
  <c r="AD36" i="14"/>
  <c r="AE36" i="60"/>
  <c r="AE36" i="14"/>
  <c r="AF36" i="60"/>
  <c r="AF36" i="14"/>
  <c r="AG36" i="14"/>
  <c r="G46" i="65"/>
  <c r="U37" i="68" a="1"/>
  <c r="U37" i="68"/>
  <c r="U37" i="14"/>
  <c r="V37" i="68"/>
  <c r="V37" i="14"/>
  <c r="W37" i="68"/>
  <c r="W37" i="14"/>
  <c r="X37" i="68"/>
  <c r="X37" i="14"/>
  <c r="Y37" i="68"/>
  <c r="Y37" i="14"/>
  <c r="Z37" i="68"/>
  <c r="Z37" i="14"/>
  <c r="AA37" i="68"/>
  <c r="AA37" i="14"/>
  <c r="AB37" i="68"/>
  <c r="AB37" i="14"/>
  <c r="AC37" i="68"/>
  <c r="AC37" i="14"/>
  <c r="AD37" i="68"/>
  <c r="AD37" i="14"/>
  <c r="AE37" i="68"/>
  <c r="AE37" i="14"/>
  <c r="AF37" i="68"/>
  <c r="AF37" i="14"/>
  <c r="AG37" i="14"/>
  <c r="G47" i="65"/>
  <c r="U59" i="41"/>
  <c r="U38" i="60"/>
  <c r="U60" i="41"/>
  <c r="U38" i="74"/>
  <c r="U61" i="41"/>
  <c r="U38" i="61"/>
  <c r="U62" i="41"/>
  <c r="U38" i="62"/>
  <c r="U63" i="41"/>
  <c r="U38" i="68"/>
  <c r="U64" i="41"/>
  <c r="U38" i="69"/>
  <c r="U38" i="14"/>
  <c r="V59" i="41"/>
  <c r="V38" i="60"/>
  <c r="V60" i="41"/>
  <c r="V38" i="74"/>
  <c r="V61" i="41"/>
  <c r="V38" i="61"/>
  <c r="V62" i="41"/>
  <c r="V38" i="62"/>
  <c r="V63" i="41"/>
  <c r="V38" i="68"/>
  <c r="V64" i="41"/>
  <c r="V38" i="69"/>
  <c r="V38" i="14"/>
  <c r="W59" i="41"/>
  <c r="W38" i="60"/>
  <c r="W60" i="41"/>
  <c r="W38" i="74"/>
  <c r="W61" i="41"/>
  <c r="W38" i="61"/>
  <c r="W62" i="41"/>
  <c r="W38" i="62"/>
  <c r="W63" i="41"/>
  <c r="W38" i="68"/>
  <c r="W64" i="41"/>
  <c r="W38" i="69"/>
  <c r="W38" i="14"/>
  <c r="X59" i="41"/>
  <c r="X38" i="60"/>
  <c r="X60" i="41"/>
  <c r="X38" i="74"/>
  <c r="X61" i="41"/>
  <c r="X38" i="61"/>
  <c r="X62" i="41"/>
  <c r="X38" i="62"/>
  <c r="X63" i="41"/>
  <c r="X38" i="68"/>
  <c r="X64" i="41"/>
  <c r="X38" i="69"/>
  <c r="X38" i="14"/>
  <c r="Y59" i="41"/>
  <c r="Y38" i="60"/>
  <c r="Y60" i="41"/>
  <c r="Y38" i="74"/>
  <c r="Y61" i="41"/>
  <c r="Y38" i="61"/>
  <c r="Y62" i="41"/>
  <c r="Y38" i="62"/>
  <c r="Y63" i="41"/>
  <c r="Y38" i="68"/>
  <c r="Y64" i="41"/>
  <c r="Y38" i="69"/>
  <c r="Y38" i="14"/>
  <c r="Z59" i="41"/>
  <c r="Z38" i="60"/>
  <c r="Z60" i="41"/>
  <c r="Z38" i="74"/>
  <c r="Z61" i="41"/>
  <c r="Z38" i="61"/>
  <c r="Z62" i="41"/>
  <c r="Z38" i="62"/>
  <c r="Z63" i="41"/>
  <c r="Z38" i="68"/>
  <c r="Z64" i="41"/>
  <c r="Z38" i="69"/>
  <c r="Z38" i="14"/>
  <c r="AA59" i="41"/>
  <c r="AA38" i="60"/>
  <c r="AA60" i="41"/>
  <c r="AA38" i="74"/>
  <c r="AA61" i="41"/>
  <c r="AA38" i="61"/>
  <c r="AA62" i="41"/>
  <c r="AA38" i="62"/>
  <c r="AA63" i="41"/>
  <c r="AA38" i="68"/>
  <c r="AA64" i="41"/>
  <c r="AA38" i="69"/>
  <c r="AA38" i="14"/>
  <c r="AB59" i="41"/>
  <c r="AB38" i="60"/>
  <c r="AB60" i="41"/>
  <c r="AB38" i="74"/>
  <c r="AB61" i="41"/>
  <c r="AB38" i="61"/>
  <c r="AB62" i="41"/>
  <c r="AB38" i="62"/>
  <c r="AB63" i="41"/>
  <c r="AB38" i="68"/>
  <c r="AB64" i="41"/>
  <c r="AB38" i="69"/>
  <c r="AB38" i="14"/>
  <c r="AC59" i="41"/>
  <c r="AC38" i="60"/>
  <c r="AC60" i="41"/>
  <c r="AC38" i="74"/>
  <c r="AC61" i="41"/>
  <c r="AC38" i="61"/>
  <c r="AC62" i="41"/>
  <c r="AC38" i="62"/>
  <c r="AC63" i="41"/>
  <c r="AC38" i="68"/>
  <c r="AC64" i="41"/>
  <c r="AC38" i="69"/>
  <c r="AC38" i="14"/>
  <c r="AD59" i="41"/>
  <c r="AD38" i="60"/>
  <c r="AD60" i="41"/>
  <c r="AD38" i="74"/>
  <c r="AD61" i="41"/>
  <c r="AD38" i="61"/>
  <c r="AD62" i="41"/>
  <c r="AD38" i="62"/>
  <c r="AD63" i="41"/>
  <c r="AD38" i="68"/>
  <c r="AD64" i="41"/>
  <c r="AD38" i="69"/>
  <c r="AD38" i="14"/>
  <c r="AE59" i="41"/>
  <c r="AE38" i="60"/>
  <c r="AE60" i="41"/>
  <c r="AE38" i="74"/>
  <c r="AE61" i="41"/>
  <c r="AE38" i="61"/>
  <c r="AE62" i="41"/>
  <c r="AE38" i="62"/>
  <c r="AE63" i="41"/>
  <c r="AE38" i="68"/>
  <c r="AE64" i="41"/>
  <c r="AE38" i="69"/>
  <c r="AE38" i="14"/>
  <c r="AF59" i="41"/>
  <c r="AF38" i="60"/>
  <c r="AF60" i="41"/>
  <c r="AF38" i="74"/>
  <c r="AF61" i="41"/>
  <c r="AF38" i="61"/>
  <c r="AF62" i="41"/>
  <c r="AF38" i="62"/>
  <c r="AF63" i="41"/>
  <c r="AF38" i="68"/>
  <c r="AF64" i="41"/>
  <c r="AF38" i="69"/>
  <c r="AF38" i="14"/>
  <c r="AG38" i="14"/>
  <c r="G48" i="65"/>
  <c r="G49" i="65"/>
  <c r="U49" i="58"/>
  <c r="U49" i="14"/>
  <c r="V49" i="58"/>
  <c r="V49" i="14"/>
  <c r="W49" i="58"/>
  <c r="W49" i="14"/>
  <c r="X49" i="58"/>
  <c r="X49" i="14"/>
  <c r="Y49" i="58"/>
  <c r="Y49" i="14"/>
  <c r="Z49" i="58"/>
  <c r="Z49" i="14"/>
  <c r="AA49" i="58"/>
  <c r="AA49" i="14"/>
  <c r="AB49" i="58"/>
  <c r="AB49" i="14"/>
  <c r="AC49" i="58"/>
  <c r="AC49" i="14"/>
  <c r="AD49" i="58"/>
  <c r="AD49" i="14"/>
  <c r="AE49" i="58"/>
  <c r="AE49" i="14"/>
  <c r="AF49" i="58"/>
  <c r="AF49" i="14"/>
  <c r="AG49" i="14"/>
  <c r="G61" i="65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G62" i="65"/>
  <c r="S18" i="80"/>
  <c r="U51" i="66"/>
  <c r="S19" i="80"/>
  <c r="U51" i="63"/>
  <c r="S20" i="80"/>
  <c r="U51" i="55"/>
  <c r="S21" i="80"/>
  <c r="U51" i="57"/>
  <c r="S5" i="80" a="1"/>
  <c r="S5" i="80"/>
  <c r="S22" i="80"/>
  <c r="U51" i="59"/>
  <c r="S23" i="80"/>
  <c r="U51" i="58"/>
  <c r="S24" i="80"/>
  <c r="U51" i="60"/>
  <c r="S25" i="80"/>
  <c r="U51" i="74"/>
  <c r="S26" i="80"/>
  <c r="U51" i="61"/>
  <c r="S27" i="80"/>
  <c r="U51" i="62"/>
  <c r="S28" i="80"/>
  <c r="U51" i="68"/>
  <c r="S29" i="80"/>
  <c r="U51" i="69"/>
  <c r="U51" i="14"/>
  <c r="T18" i="80"/>
  <c r="V51" i="66"/>
  <c r="T19" i="80"/>
  <c r="V51" i="63"/>
  <c r="T20" i="80"/>
  <c r="V51" i="55"/>
  <c r="T21" i="80"/>
  <c r="V51" i="57"/>
  <c r="T5" i="80"/>
  <c r="T22" i="80"/>
  <c r="V51" i="59"/>
  <c r="T23" i="80"/>
  <c r="V51" i="58"/>
  <c r="T24" i="80"/>
  <c r="V51" i="60"/>
  <c r="T25" i="80"/>
  <c r="V51" i="74"/>
  <c r="T26" i="80"/>
  <c r="V51" i="61"/>
  <c r="T27" i="80"/>
  <c r="V51" i="62"/>
  <c r="T28" i="80"/>
  <c r="V51" i="68"/>
  <c r="T29" i="80"/>
  <c r="V51" i="69"/>
  <c r="V51" i="14"/>
  <c r="U18" i="80"/>
  <c r="W51" i="66"/>
  <c r="U19" i="80"/>
  <c r="W51" i="63"/>
  <c r="U20" i="80"/>
  <c r="W51" i="55"/>
  <c r="U21" i="80"/>
  <c r="W51" i="57"/>
  <c r="U5" i="80"/>
  <c r="U22" i="80"/>
  <c r="W51" i="59"/>
  <c r="U23" i="80"/>
  <c r="W51" i="58"/>
  <c r="U24" i="80"/>
  <c r="W51" i="60"/>
  <c r="U25" i="80"/>
  <c r="W51" i="74"/>
  <c r="U26" i="80"/>
  <c r="W51" i="61"/>
  <c r="U27" i="80"/>
  <c r="W51" i="62"/>
  <c r="U28" i="80"/>
  <c r="W51" i="68"/>
  <c r="U29" i="80"/>
  <c r="W51" i="69"/>
  <c r="W51" i="14"/>
  <c r="V18" i="80"/>
  <c r="X51" i="66"/>
  <c r="V19" i="80"/>
  <c r="X51" i="63"/>
  <c r="V20" i="80"/>
  <c r="X51" i="55"/>
  <c r="V21" i="80"/>
  <c r="X51" i="57"/>
  <c r="V5" i="80"/>
  <c r="V22" i="80"/>
  <c r="X51" i="59"/>
  <c r="V23" i="80"/>
  <c r="X51" i="58"/>
  <c r="V24" i="80"/>
  <c r="X51" i="60"/>
  <c r="V25" i="80"/>
  <c r="X51" i="74"/>
  <c r="V26" i="80"/>
  <c r="X51" i="61"/>
  <c r="V27" i="80"/>
  <c r="X51" i="62"/>
  <c r="V28" i="80"/>
  <c r="X51" i="68"/>
  <c r="V29" i="80"/>
  <c r="X51" i="69"/>
  <c r="X51" i="14"/>
  <c r="W18" i="80"/>
  <c r="Y51" i="66"/>
  <c r="W19" i="80"/>
  <c r="Y51" i="63"/>
  <c r="W20" i="80"/>
  <c r="Y51" i="55"/>
  <c r="W21" i="80"/>
  <c r="Y51" i="57"/>
  <c r="W5" i="80"/>
  <c r="W22" i="80"/>
  <c r="Y51" i="59"/>
  <c r="W23" i="80"/>
  <c r="Y51" i="58"/>
  <c r="W24" i="80"/>
  <c r="Y51" i="60"/>
  <c r="W25" i="80"/>
  <c r="Y51" i="74"/>
  <c r="W26" i="80"/>
  <c r="Y51" i="61"/>
  <c r="W27" i="80"/>
  <c r="Y51" i="62"/>
  <c r="W28" i="80"/>
  <c r="Y51" i="68"/>
  <c r="W29" i="80"/>
  <c r="Y51" i="69"/>
  <c r="Y51" i="14"/>
  <c r="X18" i="80"/>
  <c r="Z51" i="66"/>
  <c r="X19" i="80"/>
  <c r="Z51" i="63"/>
  <c r="X20" i="80"/>
  <c r="Z51" i="55"/>
  <c r="X21" i="80"/>
  <c r="Z51" i="57"/>
  <c r="X5" i="80"/>
  <c r="X22" i="80"/>
  <c r="Z51" i="59"/>
  <c r="X23" i="80"/>
  <c r="Z51" i="58"/>
  <c r="X24" i="80"/>
  <c r="Z51" i="60"/>
  <c r="X25" i="80"/>
  <c r="Z51" i="74"/>
  <c r="X26" i="80"/>
  <c r="Z51" i="61"/>
  <c r="X27" i="80"/>
  <c r="Z51" i="62"/>
  <c r="X28" i="80"/>
  <c r="Z51" i="68"/>
  <c r="X29" i="80"/>
  <c r="Z51" i="69"/>
  <c r="Z51" i="14"/>
  <c r="Y18" i="80"/>
  <c r="AA51" i="66"/>
  <c r="Y19" i="80"/>
  <c r="AA51" i="63"/>
  <c r="Y20" i="80"/>
  <c r="AA51" i="55"/>
  <c r="Y21" i="80"/>
  <c r="AA51" i="57"/>
  <c r="Y5" i="80"/>
  <c r="Y22" i="80"/>
  <c r="AA51" i="59"/>
  <c r="Y23" i="80"/>
  <c r="AA51" i="58"/>
  <c r="Y24" i="80"/>
  <c r="AA51" i="60"/>
  <c r="Y25" i="80"/>
  <c r="AA51" i="74"/>
  <c r="Y26" i="80"/>
  <c r="AA51" i="61"/>
  <c r="Y27" i="80"/>
  <c r="AA51" i="62"/>
  <c r="Y28" i="80"/>
  <c r="AA51" i="68"/>
  <c r="Y29" i="80"/>
  <c r="AA51" i="69"/>
  <c r="AA51" i="14"/>
  <c r="Z18" i="80"/>
  <c r="AB51" i="66"/>
  <c r="Z19" i="80"/>
  <c r="AB51" i="63"/>
  <c r="Z20" i="80"/>
  <c r="AB51" i="55"/>
  <c r="Z21" i="80"/>
  <c r="AB51" i="57"/>
  <c r="Z5" i="80"/>
  <c r="Z22" i="80"/>
  <c r="AB51" i="59"/>
  <c r="Z23" i="80"/>
  <c r="AB51" i="58"/>
  <c r="Z24" i="80"/>
  <c r="AB51" i="60"/>
  <c r="Z25" i="80"/>
  <c r="AB51" i="74"/>
  <c r="Z26" i="80"/>
  <c r="AB51" i="61"/>
  <c r="Z27" i="80"/>
  <c r="AB51" i="62"/>
  <c r="Z28" i="80"/>
  <c r="AB51" i="68"/>
  <c r="Z29" i="80"/>
  <c r="AB51" i="69"/>
  <c r="AB51" i="14"/>
  <c r="AA18" i="80"/>
  <c r="AC51" i="66"/>
  <c r="AA19" i="80"/>
  <c r="AC51" i="63"/>
  <c r="AA20" i="80"/>
  <c r="AC51" i="55"/>
  <c r="AA21" i="80"/>
  <c r="AC51" i="57"/>
  <c r="AA5" i="80"/>
  <c r="AA22" i="80"/>
  <c r="AC51" i="59"/>
  <c r="AA23" i="80"/>
  <c r="AC51" i="58"/>
  <c r="AA24" i="80"/>
  <c r="AC51" i="60"/>
  <c r="AA25" i="80"/>
  <c r="AC51" i="74"/>
  <c r="AA26" i="80"/>
  <c r="AC51" i="61"/>
  <c r="AA27" i="80"/>
  <c r="AC51" i="62"/>
  <c r="AA28" i="80"/>
  <c r="AC51" i="68"/>
  <c r="AA29" i="80"/>
  <c r="AC51" i="69"/>
  <c r="AC51" i="14"/>
  <c r="AB18" i="80"/>
  <c r="AD51" i="66"/>
  <c r="AB19" i="80"/>
  <c r="AD51" i="63"/>
  <c r="AB20" i="80"/>
  <c r="AD51" i="55"/>
  <c r="AB21" i="80"/>
  <c r="AD51" i="57"/>
  <c r="AB5" i="80"/>
  <c r="AB22" i="80"/>
  <c r="AD51" i="59"/>
  <c r="AB23" i="80"/>
  <c r="AD51" i="58"/>
  <c r="AB24" i="80"/>
  <c r="AD51" i="60"/>
  <c r="AB25" i="80"/>
  <c r="AD51" i="74"/>
  <c r="AB26" i="80"/>
  <c r="AD51" i="61"/>
  <c r="AB27" i="80"/>
  <c r="AD51" i="62"/>
  <c r="AB28" i="80"/>
  <c r="AD51" i="68"/>
  <c r="AB29" i="80"/>
  <c r="AD51" i="69"/>
  <c r="AD51" i="14"/>
  <c r="AC18" i="80"/>
  <c r="AE51" i="66"/>
  <c r="AC19" i="80"/>
  <c r="AE51" i="63"/>
  <c r="AC20" i="80"/>
  <c r="AE51" i="55"/>
  <c r="AC21" i="80"/>
  <c r="AE51" i="57"/>
  <c r="AC5" i="80"/>
  <c r="AC22" i="80"/>
  <c r="AE51" i="59"/>
  <c r="AC23" i="80"/>
  <c r="AE51" i="58"/>
  <c r="AC24" i="80"/>
  <c r="AE51" i="60"/>
  <c r="AC25" i="80"/>
  <c r="AE51" i="74"/>
  <c r="AC26" i="80"/>
  <c r="AE51" i="61"/>
  <c r="AC27" i="80"/>
  <c r="AE51" i="62"/>
  <c r="AC28" i="80"/>
  <c r="AE51" i="68"/>
  <c r="AC29" i="80"/>
  <c r="AE51" i="69"/>
  <c r="AE51" i="14"/>
  <c r="AD18" i="80"/>
  <c r="AF51" i="66"/>
  <c r="AD19" i="80"/>
  <c r="AF51" i="63"/>
  <c r="AD20" i="80"/>
  <c r="AF51" i="55"/>
  <c r="AD21" i="80"/>
  <c r="AF51" i="57"/>
  <c r="AD5" i="80"/>
  <c r="AD22" i="80"/>
  <c r="AF51" i="59"/>
  <c r="AD23" i="80"/>
  <c r="AF51" i="58"/>
  <c r="AD24" i="80"/>
  <c r="AF51" i="60"/>
  <c r="AD25" i="80"/>
  <c r="AF51" i="74"/>
  <c r="AD26" i="80"/>
  <c r="AF51" i="61"/>
  <c r="AD27" i="80"/>
  <c r="AF51" i="62"/>
  <c r="AD28" i="80"/>
  <c r="AF51" i="68"/>
  <c r="AD29" i="80"/>
  <c r="AF51" i="69"/>
  <c r="AF51" i="14"/>
  <c r="AG51" i="14"/>
  <c r="G63" i="65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G64" i="65"/>
  <c r="CO32" i="25"/>
  <c r="U54" i="66"/>
  <c r="CO33" i="25"/>
  <c r="U54" i="63"/>
  <c r="CO34" i="25"/>
  <c r="U54" i="55"/>
  <c r="CO35" i="25"/>
  <c r="U54" i="57"/>
  <c r="CO36" i="25"/>
  <c r="U54" i="59"/>
  <c r="CO37" i="25"/>
  <c r="U54" i="58"/>
  <c r="CO38" i="25"/>
  <c r="U54" i="60"/>
  <c r="CO39" i="25"/>
  <c r="U54" i="74"/>
  <c r="CO40" i="25"/>
  <c r="U54" i="61"/>
  <c r="CO41" i="25"/>
  <c r="U54" i="62"/>
  <c r="CO42" i="25"/>
  <c r="U54" i="68"/>
  <c r="CO43" i="25"/>
  <c r="U54" i="69"/>
  <c r="U54" i="14"/>
  <c r="CP32" i="25"/>
  <c r="V54" i="66"/>
  <c r="CP33" i="25"/>
  <c r="V54" i="63"/>
  <c r="CP34" i="25"/>
  <c r="V54" i="55"/>
  <c r="CP35" i="25"/>
  <c r="V54" i="57"/>
  <c r="CP36" i="25"/>
  <c r="V54" i="59"/>
  <c r="CP37" i="25"/>
  <c r="V54" i="58"/>
  <c r="CP38" i="25"/>
  <c r="V54" i="60"/>
  <c r="CP39" i="25"/>
  <c r="V54" i="74"/>
  <c r="CP40" i="25"/>
  <c r="V54" i="61"/>
  <c r="CP41" i="25"/>
  <c r="V54" i="62"/>
  <c r="CP42" i="25"/>
  <c r="V54" i="68"/>
  <c r="CP43" i="25"/>
  <c r="V54" i="69"/>
  <c r="V54" i="14"/>
  <c r="CQ32" i="25"/>
  <c r="W54" i="66"/>
  <c r="CQ33" i="25"/>
  <c r="W54" i="63"/>
  <c r="CQ34" i="25"/>
  <c r="W54" i="55"/>
  <c r="CQ35" i="25"/>
  <c r="W54" i="57"/>
  <c r="CQ36" i="25"/>
  <c r="W54" i="59"/>
  <c r="CQ37" i="25"/>
  <c r="W54" i="58"/>
  <c r="CQ15" i="25"/>
  <c r="CQ38" i="25"/>
  <c r="W54" i="60"/>
  <c r="CQ39" i="25"/>
  <c r="W54" i="74"/>
  <c r="CQ40" i="25"/>
  <c r="W54" i="61"/>
  <c r="CQ41" i="25"/>
  <c r="W54" i="62"/>
  <c r="CQ18" i="25"/>
  <c r="CQ19" i="25"/>
  <c r="CQ20" i="25"/>
  <c r="CQ21" i="25"/>
  <c r="CQ22" i="25"/>
  <c r="CQ23" i="25"/>
  <c r="CQ24" i="25"/>
  <c r="CQ25" i="25"/>
  <c r="CQ26" i="25"/>
  <c r="CQ27" i="25"/>
  <c r="CQ28" i="25"/>
  <c r="CQ29" i="25"/>
  <c r="CQ42" i="25"/>
  <c r="W54" i="68"/>
  <c r="CQ43" i="25"/>
  <c r="W54" i="69"/>
  <c r="W54" i="14"/>
  <c r="CR32" i="25"/>
  <c r="X54" i="66"/>
  <c r="CR33" i="25"/>
  <c r="X54" i="63"/>
  <c r="CR34" i="25"/>
  <c r="X54" i="55"/>
  <c r="CR35" i="25"/>
  <c r="X54" i="57"/>
  <c r="CR36" i="25"/>
  <c r="X54" i="59"/>
  <c r="CR37" i="25"/>
  <c r="X54" i="58"/>
  <c r="CR38" i="25"/>
  <c r="X54" i="60"/>
  <c r="CR39" i="25"/>
  <c r="X54" i="74"/>
  <c r="CR40" i="25"/>
  <c r="X54" i="61"/>
  <c r="CR41" i="25"/>
  <c r="X54" i="62"/>
  <c r="CR42" i="25"/>
  <c r="X54" i="68"/>
  <c r="CR43" i="25"/>
  <c r="X54" i="69"/>
  <c r="X54" i="14"/>
  <c r="CS6" i="25"/>
  <c r="CS32" i="25"/>
  <c r="Y54" i="66"/>
  <c r="CS33" i="25"/>
  <c r="Y54" i="63"/>
  <c r="CS34" i="25"/>
  <c r="Y54" i="55"/>
  <c r="CS7" i="25"/>
  <c r="CS8" i="25"/>
  <c r="CS35" i="25"/>
  <c r="Y54" i="57"/>
  <c r="CS9" i="25"/>
  <c r="CS36" i="25"/>
  <c r="Y54" i="59"/>
  <c r="CS10" i="25"/>
  <c r="CS11" i="25"/>
  <c r="CS37" i="25"/>
  <c r="Y54" i="58"/>
  <c r="CS12" i="25"/>
  <c r="CS13" i="25"/>
  <c r="CS14" i="25"/>
  <c r="CS16" i="25"/>
  <c r="CS38" i="25"/>
  <c r="Y54" i="60"/>
  <c r="CS39" i="25"/>
  <c r="Y54" i="74"/>
  <c r="CS40" i="25"/>
  <c r="Y54" i="61"/>
  <c r="CS17" i="25"/>
  <c r="CS41" i="25"/>
  <c r="Y54" i="62"/>
  <c r="CS42" i="25"/>
  <c r="Y54" i="68"/>
  <c r="CS43" i="25"/>
  <c r="Y54" i="69"/>
  <c r="Y54" i="14"/>
  <c r="CT32" i="25"/>
  <c r="Z54" i="66"/>
  <c r="CT33" i="25"/>
  <c r="Z54" i="63"/>
  <c r="CT34" i="25"/>
  <c r="Z54" i="55"/>
  <c r="CT35" i="25"/>
  <c r="Z54" i="57"/>
  <c r="CT36" i="25"/>
  <c r="Z54" i="59"/>
  <c r="CT37" i="25"/>
  <c r="Z54" i="58"/>
  <c r="CT38" i="25"/>
  <c r="Z54" i="60"/>
  <c r="CT39" i="25"/>
  <c r="Z54" i="74"/>
  <c r="CT40" i="25"/>
  <c r="Z54" i="61"/>
  <c r="CT41" i="25"/>
  <c r="Z54" i="62"/>
  <c r="CT42" i="25"/>
  <c r="Z54" i="68"/>
  <c r="CT43" i="25"/>
  <c r="Z54" i="69"/>
  <c r="Z54" i="14"/>
  <c r="CU32" i="25"/>
  <c r="AA54" i="66"/>
  <c r="CU33" i="25"/>
  <c r="AA54" i="63"/>
  <c r="CU34" i="25"/>
  <c r="AA54" i="55"/>
  <c r="CU35" i="25"/>
  <c r="AA54" i="57"/>
  <c r="CU36" i="25"/>
  <c r="AA54" i="59"/>
  <c r="CU37" i="25"/>
  <c r="AA54" i="58"/>
  <c r="CU38" i="25"/>
  <c r="AA54" i="60"/>
  <c r="CU39" i="25"/>
  <c r="AA54" i="74"/>
  <c r="CU40" i="25"/>
  <c r="AA54" i="61"/>
  <c r="CU41" i="25"/>
  <c r="AA54" i="62"/>
  <c r="CU42" i="25"/>
  <c r="AA54" i="68"/>
  <c r="CU43" i="25"/>
  <c r="AA54" i="69"/>
  <c r="AA54" i="14"/>
  <c r="CV32" i="25"/>
  <c r="AB54" i="66"/>
  <c r="CV33" i="25"/>
  <c r="AB54" i="63"/>
  <c r="CV34" i="25"/>
  <c r="AB54" i="55"/>
  <c r="CV35" i="25"/>
  <c r="AB54" i="57"/>
  <c r="CV36" i="25"/>
  <c r="AB54" i="59"/>
  <c r="CV37" i="25"/>
  <c r="AB54" i="58"/>
  <c r="CV38" i="25"/>
  <c r="AB54" i="60"/>
  <c r="CV39" i="25"/>
  <c r="AB54" i="74"/>
  <c r="CV40" i="25"/>
  <c r="AB54" i="61"/>
  <c r="CV41" i="25"/>
  <c r="AB54" i="62"/>
  <c r="CV42" i="25"/>
  <c r="AB54" i="68"/>
  <c r="CV43" i="25"/>
  <c r="AB54" i="69"/>
  <c r="AB54" i="14"/>
  <c r="CW32" i="25"/>
  <c r="AC54" i="66"/>
  <c r="CW33" i="25"/>
  <c r="AC54" i="63"/>
  <c r="CW34" i="25"/>
  <c r="AC54" i="55"/>
  <c r="CW35" i="25"/>
  <c r="AC54" i="57"/>
  <c r="CW36" i="25"/>
  <c r="AC54" i="59"/>
  <c r="CW37" i="25"/>
  <c r="AC54" i="58"/>
  <c r="CW38" i="25"/>
  <c r="AC54" i="60"/>
  <c r="CW39" i="25"/>
  <c r="AC54" i="74"/>
  <c r="CW40" i="25"/>
  <c r="AC54" i="61"/>
  <c r="CW41" i="25"/>
  <c r="AC54" i="62"/>
  <c r="CW42" i="25"/>
  <c r="AC54" i="68"/>
  <c r="CW43" i="25"/>
  <c r="AC54" i="69"/>
  <c r="AC54" i="14"/>
  <c r="CX32" i="25"/>
  <c r="AD54" i="66"/>
  <c r="CX33" i="25"/>
  <c r="AD54" i="63"/>
  <c r="CX34" i="25"/>
  <c r="AD54" i="55"/>
  <c r="CX35" i="25"/>
  <c r="AD54" i="57"/>
  <c r="CX36" i="25"/>
  <c r="AD54" i="59"/>
  <c r="CX37" i="25"/>
  <c r="AD54" i="58"/>
  <c r="CX38" i="25"/>
  <c r="AD54" i="60"/>
  <c r="CX39" i="25"/>
  <c r="AD54" i="74"/>
  <c r="CX40" i="25"/>
  <c r="AD54" i="61"/>
  <c r="CX41" i="25"/>
  <c r="AD54" i="62"/>
  <c r="CX42" i="25"/>
  <c r="AD54" i="68"/>
  <c r="CX43" i="25"/>
  <c r="AD54" i="69"/>
  <c r="AD54" i="14"/>
  <c r="CY6" i="25"/>
  <c r="CY32" i="25"/>
  <c r="AE54" i="66"/>
  <c r="CY33" i="25"/>
  <c r="AE54" i="63"/>
  <c r="CY34" i="25"/>
  <c r="AE54" i="55"/>
  <c r="CY7" i="25"/>
  <c r="CY8" i="25"/>
  <c r="CY35" i="25"/>
  <c r="AE54" i="57"/>
  <c r="CY9" i="25"/>
  <c r="CY36" i="25"/>
  <c r="AE54" i="59"/>
  <c r="CY10" i="25"/>
  <c r="CY11" i="25"/>
  <c r="CY37" i="25"/>
  <c r="AE54" i="58"/>
  <c r="CY12" i="25"/>
  <c r="CY13" i="25"/>
  <c r="CY14" i="25"/>
  <c r="CY16" i="25"/>
  <c r="CY38" i="25"/>
  <c r="AE54" i="60"/>
  <c r="CY39" i="25"/>
  <c r="AE54" i="74"/>
  <c r="CY40" i="25"/>
  <c r="AE54" i="61"/>
  <c r="CY41" i="25"/>
  <c r="AE54" i="62"/>
  <c r="CY42" i="25"/>
  <c r="AE54" i="68"/>
  <c r="CY43" i="25"/>
  <c r="AE54" i="69"/>
  <c r="AE54" i="14"/>
  <c r="CZ32" i="25"/>
  <c r="AF54" i="66"/>
  <c r="CZ33" i="25"/>
  <c r="AF54" i="63"/>
  <c r="CZ34" i="25"/>
  <c r="AF54" i="55"/>
  <c r="CZ35" i="25"/>
  <c r="AF54" i="57"/>
  <c r="CZ36" i="25"/>
  <c r="AF54" i="59"/>
  <c r="CZ37" i="25"/>
  <c r="AF54" i="58"/>
  <c r="CZ38" i="25"/>
  <c r="AF54" i="60"/>
  <c r="CZ39" i="25"/>
  <c r="AF54" i="74"/>
  <c r="CZ40" i="25"/>
  <c r="AF54" i="61"/>
  <c r="CZ41" i="25"/>
  <c r="AF54" i="62"/>
  <c r="CZ42" i="25"/>
  <c r="AF54" i="68"/>
  <c r="CZ43" i="25"/>
  <c r="AF54" i="69"/>
  <c r="AF54" i="14"/>
  <c r="AG54" i="14"/>
  <c r="G66" i="65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G67" i="65"/>
  <c r="AG8" i="40"/>
  <c r="AU8" i="40"/>
  <c r="BW8" i="40"/>
  <c r="CK8" i="40"/>
  <c r="CY8" i="40"/>
  <c r="EA8" i="40"/>
  <c r="EA13" i="40"/>
  <c r="U56" i="66"/>
  <c r="EA14" i="40"/>
  <c r="U56" i="63"/>
  <c r="EA15" i="40"/>
  <c r="U56" i="55"/>
  <c r="EA17" i="40"/>
  <c r="U56" i="57"/>
  <c r="AG9" i="40"/>
  <c r="AU9" i="40"/>
  <c r="BW9" i="40"/>
  <c r="CK9" i="40"/>
  <c r="CY9" i="40"/>
  <c r="EA9" i="40"/>
  <c r="EA18" i="40"/>
  <c r="U56" i="59"/>
  <c r="EA19" i="40"/>
  <c r="U56" i="58"/>
  <c r="EA20" i="40"/>
  <c r="U56" i="60"/>
  <c r="EA27" i="40"/>
  <c r="U56" i="74"/>
  <c r="EA29" i="40"/>
  <c r="U56" i="61"/>
  <c r="EA30" i="40"/>
  <c r="U56" i="62"/>
  <c r="AG6" i="40"/>
  <c r="AU6" i="40"/>
  <c r="BW6" i="40"/>
  <c r="CK6" i="40"/>
  <c r="CY6" i="40"/>
  <c r="EA6" i="40"/>
  <c r="AG7" i="40"/>
  <c r="AU7" i="40"/>
  <c r="BW7" i="40"/>
  <c r="CK7" i="40"/>
  <c r="CY7" i="40"/>
  <c r="EA7" i="40"/>
  <c r="EA31" i="40"/>
  <c r="U56" i="68"/>
  <c r="EA32" i="40"/>
  <c r="U56" i="69"/>
  <c r="U56" i="14"/>
  <c r="AH8" i="40"/>
  <c r="AV8" i="40"/>
  <c r="BX8" i="40"/>
  <c r="CL8" i="40"/>
  <c r="CZ8" i="40"/>
  <c r="EB8" i="40"/>
  <c r="EB13" i="40"/>
  <c r="V56" i="66"/>
  <c r="EB14" i="40"/>
  <c r="V56" i="63"/>
  <c r="EB15" i="40"/>
  <c r="V56" i="55"/>
  <c r="EB17" i="40"/>
  <c r="V56" i="57"/>
  <c r="AH9" i="40"/>
  <c r="AV9" i="40"/>
  <c r="BX9" i="40"/>
  <c r="CL9" i="40"/>
  <c r="CZ9" i="40"/>
  <c r="EB9" i="40"/>
  <c r="EB18" i="40"/>
  <c r="V56" i="59"/>
  <c r="EB19" i="40"/>
  <c r="V56" i="58"/>
  <c r="EB20" i="40"/>
  <c r="V56" i="60"/>
  <c r="EB27" i="40"/>
  <c r="V56" i="74"/>
  <c r="EB29" i="40"/>
  <c r="V56" i="61"/>
  <c r="EB30" i="40"/>
  <c r="V56" i="62"/>
  <c r="AH6" i="40"/>
  <c r="AV6" i="40"/>
  <c r="BX6" i="40"/>
  <c r="CL6" i="40"/>
  <c r="CZ6" i="40"/>
  <c r="EB6" i="40"/>
  <c r="AH7" i="40"/>
  <c r="AV7" i="40"/>
  <c r="BX7" i="40"/>
  <c r="CL7" i="40"/>
  <c r="CZ7" i="40"/>
  <c r="EB7" i="40"/>
  <c r="EB31" i="40"/>
  <c r="V56" i="68"/>
  <c r="EB32" i="40"/>
  <c r="V56" i="69"/>
  <c r="V56" i="14"/>
  <c r="AI8" i="40"/>
  <c r="AW8" i="40"/>
  <c r="BY8" i="40"/>
  <c r="CM8" i="40"/>
  <c r="DA8" i="40"/>
  <c r="EC8" i="40"/>
  <c r="EC13" i="40"/>
  <c r="W56" i="66"/>
  <c r="EC14" i="40"/>
  <c r="W56" i="63"/>
  <c r="EC15" i="40"/>
  <c r="W56" i="55"/>
  <c r="EC17" i="40"/>
  <c r="W56" i="57"/>
  <c r="AI9" i="40"/>
  <c r="AW9" i="40"/>
  <c r="BY9" i="40"/>
  <c r="CM9" i="40"/>
  <c r="DA9" i="40"/>
  <c r="EC9" i="40"/>
  <c r="EC18" i="40"/>
  <c r="W56" i="59"/>
  <c r="EC19" i="40"/>
  <c r="W56" i="58"/>
  <c r="EC20" i="40"/>
  <c r="W56" i="60"/>
  <c r="EC27" i="40"/>
  <c r="W56" i="74"/>
  <c r="EC29" i="40"/>
  <c r="W56" i="61"/>
  <c r="EC30" i="40"/>
  <c r="W56" i="62"/>
  <c r="AI6" i="40"/>
  <c r="AW6" i="40"/>
  <c r="BY6" i="40"/>
  <c r="CM6" i="40"/>
  <c r="DA6" i="40"/>
  <c r="EC6" i="40"/>
  <c r="AI7" i="40"/>
  <c r="AW7" i="40"/>
  <c r="BY7" i="40"/>
  <c r="CM7" i="40"/>
  <c r="DA7" i="40"/>
  <c r="EC7" i="40"/>
  <c r="EC31" i="40"/>
  <c r="W56" i="68"/>
  <c r="EC32" i="40"/>
  <c r="W56" i="69"/>
  <c r="W56" i="14"/>
  <c r="AJ8" i="40"/>
  <c r="AX8" i="40"/>
  <c r="BZ8" i="40"/>
  <c r="CN8" i="40"/>
  <c r="DB8" i="40"/>
  <c r="ED8" i="40"/>
  <c r="ED13" i="40"/>
  <c r="X56" i="66"/>
  <c r="ED14" i="40"/>
  <c r="X56" i="63"/>
  <c r="ED15" i="40"/>
  <c r="X56" i="55"/>
  <c r="ED17" i="40"/>
  <c r="X56" i="57"/>
  <c r="AJ9" i="40"/>
  <c r="AX9" i="40"/>
  <c r="BZ9" i="40"/>
  <c r="CN9" i="40"/>
  <c r="DB9" i="40"/>
  <c r="ED9" i="40"/>
  <c r="ED18" i="40"/>
  <c r="X56" i="59"/>
  <c r="ED19" i="40"/>
  <c r="X56" i="58"/>
  <c r="ED20" i="40"/>
  <c r="X56" i="60"/>
  <c r="ED27" i="40"/>
  <c r="X56" i="74"/>
  <c r="ED29" i="40"/>
  <c r="X56" i="61"/>
  <c r="ED30" i="40"/>
  <c r="X56" i="62"/>
  <c r="AJ6" i="40"/>
  <c r="AX6" i="40"/>
  <c r="BZ6" i="40"/>
  <c r="CN6" i="40"/>
  <c r="DB6" i="40"/>
  <c r="ED6" i="40"/>
  <c r="AJ7" i="40"/>
  <c r="AX7" i="40"/>
  <c r="BZ7" i="40"/>
  <c r="CN7" i="40"/>
  <c r="DB7" i="40"/>
  <c r="ED7" i="40"/>
  <c r="ED31" i="40"/>
  <c r="X56" i="68"/>
  <c r="ED32" i="40"/>
  <c r="X56" i="69"/>
  <c r="X56" i="14"/>
  <c r="AK8" i="40"/>
  <c r="AY8" i="40"/>
  <c r="CA8" i="40"/>
  <c r="CO8" i="40"/>
  <c r="DC8" i="40"/>
  <c r="EE8" i="40"/>
  <c r="EE13" i="40"/>
  <c r="Y56" i="66"/>
  <c r="EE14" i="40"/>
  <c r="Y56" i="63"/>
  <c r="EE15" i="40"/>
  <c r="Y56" i="55"/>
  <c r="EE17" i="40"/>
  <c r="Y56" i="57"/>
  <c r="AK9" i="40"/>
  <c r="AY9" i="40"/>
  <c r="CA9" i="40"/>
  <c r="CO9" i="40"/>
  <c r="DC9" i="40"/>
  <c r="EE9" i="40"/>
  <c r="EE18" i="40"/>
  <c r="Y56" i="59"/>
  <c r="EE19" i="40"/>
  <c r="Y56" i="58"/>
  <c r="EE20" i="40"/>
  <c r="Y56" i="60"/>
  <c r="EE27" i="40"/>
  <c r="Y56" i="74"/>
  <c r="EE29" i="40"/>
  <c r="Y56" i="61"/>
  <c r="EE30" i="40"/>
  <c r="Y56" i="62"/>
  <c r="AK6" i="40"/>
  <c r="AY6" i="40"/>
  <c r="CA6" i="40"/>
  <c r="CO6" i="40"/>
  <c r="DC6" i="40"/>
  <c r="EE6" i="40"/>
  <c r="AK7" i="40"/>
  <c r="AY7" i="40"/>
  <c r="CA7" i="40"/>
  <c r="CO7" i="40"/>
  <c r="DC7" i="40"/>
  <c r="EE7" i="40"/>
  <c r="EE31" i="40"/>
  <c r="Y56" i="68"/>
  <c r="EE32" i="40"/>
  <c r="Y56" i="69"/>
  <c r="Y56" i="14"/>
  <c r="AL8" i="40"/>
  <c r="AZ8" i="40"/>
  <c r="CB8" i="40"/>
  <c r="CP8" i="40"/>
  <c r="DD8" i="40"/>
  <c r="EF8" i="40"/>
  <c r="EF13" i="40"/>
  <c r="Z56" i="66"/>
  <c r="EF14" i="40"/>
  <c r="Z56" i="63"/>
  <c r="EF15" i="40"/>
  <c r="Z56" i="55"/>
  <c r="EF17" i="40"/>
  <c r="Z56" i="57"/>
  <c r="AL9" i="40"/>
  <c r="AZ9" i="40"/>
  <c r="CB9" i="40"/>
  <c r="CP9" i="40"/>
  <c r="DD9" i="40"/>
  <c r="EF9" i="40"/>
  <c r="EF18" i="40"/>
  <c r="Z56" i="59"/>
  <c r="EF19" i="40"/>
  <c r="Z56" i="58"/>
  <c r="EF20" i="40"/>
  <c r="Z56" i="60"/>
  <c r="EF27" i="40"/>
  <c r="Z56" i="74"/>
  <c r="EF29" i="40"/>
  <c r="Z56" i="61"/>
  <c r="EF30" i="40"/>
  <c r="Z56" i="62"/>
  <c r="AL6" i="40"/>
  <c r="AZ6" i="40"/>
  <c r="CB6" i="40"/>
  <c r="CP6" i="40"/>
  <c r="DD6" i="40"/>
  <c r="EF6" i="40"/>
  <c r="AL7" i="40"/>
  <c r="AZ7" i="40"/>
  <c r="CB7" i="40"/>
  <c r="CP7" i="40"/>
  <c r="DD7" i="40"/>
  <c r="EF7" i="40"/>
  <c r="EF31" i="40"/>
  <c r="Z56" i="68"/>
  <c r="EF32" i="40"/>
  <c r="Z56" i="69"/>
  <c r="Z56" i="14"/>
  <c r="AM8" i="40"/>
  <c r="BA8" i="40"/>
  <c r="CC8" i="40"/>
  <c r="CQ8" i="40"/>
  <c r="DE8" i="40"/>
  <c r="EG8" i="40"/>
  <c r="EG13" i="40"/>
  <c r="AA56" i="66"/>
  <c r="EG14" i="40"/>
  <c r="AA56" i="63"/>
  <c r="EG15" i="40"/>
  <c r="AA56" i="55"/>
  <c r="EG17" i="40"/>
  <c r="AA56" i="57"/>
  <c r="AM9" i="40"/>
  <c r="BA9" i="40"/>
  <c r="CC9" i="40"/>
  <c r="CQ9" i="40"/>
  <c r="DE9" i="40"/>
  <c r="EG9" i="40"/>
  <c r="EG18" i="40"/>
  <c r="AA56" i="59"/>
  <c r="EG19" i="40"/>
  <c r="AA56" i="58"/>
  <c r="EG20" i="40"/>
  <c r="AA56" i="60"/>
  <c r="EG27" i="40"/>
  <c r="AA56" i="74"/>
  <c r="EG29" i="40"/>
  <c r="AA56" i="61"/>
  <c r="EG30" i="40"/>
  <c r="AA56" i="62"/>
  <c r="AM6" i="40"/>
  <c r="BA6" i="40"/>
  <c r="CC6" i="40"/>
  <c r="CQ6" i="40"/>
  <c r="DE6" i="40"/>
  <c r="EG6" i="40"/>
  <c r="AM7" i="40"/>
  <c r="BA7" i="40"/>
  <c r="CC7" i="40"/>
  <c r="CQ7" i="40"/>
  <c r="DE7" i="40"/>
  <c r="EG7" i="40"/>
  <c r="EG31" i="40"/>
  <c r="AA56" i="68"/>
  <c r="EG32" i="40"/>
  <c r="AA56" i="69"/>
  <c r="AA56" i="14"/>
  <c r="AN8" i="40"/>
  <c r="BB8" i="40"/>
  <c r="CD8" i="40"/>
  <c r="CR8" i="40"/>
  <c r="DF8" i="40"/>
  <c r="EH8" i="40"/>
  <c r="EH13" i="40"/>
  <c r="AB56" i="66"/>
  <c r="EH14" i="40"/>
  <c r="AB56" i="63"/>
  <c r="EH15" i="40"/>
  <c r="AB56" i="55"/>
  <c r="EH17" i="40"/>
  <c r="AB56" i="57"/>
  <c r="AN9" i="40"/>
  <c r="BB9" i="40"/>
  <c r="CD9" i="40"/>
  <c r="CR9" i="40"/>
  <c r="DF9" i="40"/>
  <c r="EH9" i="40"/>
  <c r="EH18" i="40"/>
  <c r="AB56" i="59"/>
  <c r="EH19" i="40"/>
  <c r="AB56" i="58"/>
  <c r="EH20" i="40"/>
  <c r="AB56" i="60"/>
  <c r="EH27" i="40"/>
  <c r="AB56" i="74"/>
  <c r="EH29" i="40"/>
  <c r="AB56" i="61"/>
  <c r="EH30" i="40"/>
  <c r="AB56" i="62"/>
  <c r="AN6" i="40"/>
  <c r="BB6" i="40"/>
  <c r="CD6" i="40"/>
  <c r="CR6" i="40"/>
  <c r="DF6" i="40"/>
  <c r="EH6" i="40"/>
  <c r="AN7" i="40"/>
  <c r="BB7" i="40"/>
  <c r="CD7" i="40"/>
  <c r="CR7" i="40"/>
  <c r="DF7" i="40"/>
  <c r="EH7" i="40"/>
  <c r="EH31" i="40"/>
  <c r="AB56" i="68"/>
  <c r="EH32" i="40"/>
  <c r="AB56" i="69"/>
  <c r="AB56" i="14"/>
  <c r="AO8" i="40"/>
  <c r="BC8" i="40"/>
  <c r="CE8" i="40"/>
  <c r="CS8" i="40"/>
  <c r="DG8" i="40"/>
  <c r="EI8" i="40"/>
  <c r="EI13" i="40"/>
  <c r="AC56" i="66"/>
  <c r="EI14" i="40"/>
  <c r="AC56" i="63"/>
  <c r="EI15" i="40"/>
  <c r="AC56" i="55"/>
  <c r="EI17" i="40"/>
  <c r="AC56" i="57"/>
  <c r="AO9" i="40"/>
  <c r="BC9" i="40"/>
  <c r="CE9" i="40"/>
  <c r="CS9" i="40"/>
  <c r="DG9" i="40"/>
  <c r="EI9" i="40"/>
  <c r="EI18" i="40"/>
  <c r="AC56" i="59"/>
  <c r="EI19" i="40"/>
  <c r="AC56" i="58"/>
  <c r="EI20" i="40"/>
  <c r="AC56" i="60"/>
  <c r="EI27" i="40"/>
  <c r="AC56" i="74"/>
  <c r="EI29" i="40"/>
  <c r="AC56" i="61"/>
  <c r="EI30" i="40"/>
  <c r="AC56" i="62"/>
  <c r="AO6" i="40"/>
  <c r="BC6" i="40"/>
  <c r="CE6" i="40"/>
  <c r="CS6" i="40"/>
  <c r="DG6" i="40"/>
  <c r="EI6" i="40"/>
  <c r="AO7" i="40"/>
  <c r="BC7" i="40"/>
  <c r="CE7" i="40"/>
  <c r="CS7" i="40"/>
  <c r="DG7" i="40"/>
  <c r="EI7" i="40"/>
  <c r="EI31" i="40"/>
  <c r="AC56" i="68"/>
  <c r="EI32" i="40"/>
  <c r="AC56" i="69"/>
  <c r="AC56" i="14"/>
  <c r="AP8" i="40"/>
  <c r="BD8" i="40"/>
  <c r="CF8" i="40"/>
  <c r="CT8" i="40"/>
  <c r="DH8" i="40"/>
  <c r="EJ8" i="40"/>
  <c r="EJ13" i="40"/>
  <c r="AD56" i="66"/>
  <c r="EJ14" i="40"/>
  <c r="AD56" i="63"/>
  <c r="EJ15" i="40"/>
  <c r="AD56" i="55"/>
  <c r="EJ17" i="40"/>
  <c r="AD56" i="57"/>
  <c r="AP9" i="40"/>
  <c r="BD9" i="40"/>
  <c r="CF9" i="40"/>
  <c r="CT9" i="40"/>
  <c r="DH9" i="40"/>
  <c r="EJ9" i="40"/>
  <c r="EJ18" i="40"/>
  <c r="AD56" i="59"/>
  <c r="EJ19" i="40"/>
  <c r="AD56" i="58"/>
  <c r="EJ20" i="40"/>
  <c r="AD56" i="60"/>
  <c r="EJ27" i="40"/>
  <c r="AD56" i="74"/>
  <c r="EJ29" i="40"/>
  <c r="AD56" i="61"/>
  <c r="EJ30" i="40"/>
  <c r="AD56" i="62"/>
  <c r="AP6" i="40"/>
  <c r="BD6" i="40"/>
  <c r="CF6" i="40"/>
  <c r="CT6" i="40"/>
  <c r="DH6" i="40"/>
  <c r="EJ6" i="40"/>
  <c r="AP7" i="40"/>
  <c r="BD7" i="40"/>
  <c r="CF7" i="40"/>
  <c r="CT7" i="40"/>
  <c r="DH7" i="40"/>
  <c r="EJ7" i="40"/>
  <c r="EJ31" i="40"/>
  <c r="AD56" i="68"/>
  <c r="EJ32" i="40"/>
  <c r="AD56" i="69"/>
  <c r="AD56" i="14"/>
  <c r="AQ8" i="40"/>
  <c r="BE8" i="40"/>
  <c r="CG8" i="40"/>
  <c r="CU8" i="40"/>
  <c r="DI8" i="40"/>
  <c r="EK8" i="40"/>
  <c r="EK13" i="40"/>
  <c r="AE56" i="66"/>
  <c r="EK14" i="40"/>
  <c r="AE56" i="63"/>
  <c r="EK15" i="40"/>
  <c r="AE56" i="55"/>
  <c r="EK17" i="40"/>
  <c r="AE56" i="57"/>
  <c r="AQ9" i="40"/>
  <c r="BE9" i="40"/>
  <c r="CG9" i="40"/>
  <c r="CU9" i="40"/>
  <c r="DI9" i="40"/>
  <c r="EK9" i="40"/>
  <c r="EK18" i="40"/>
  <c r="AE56" i="59"/>
  <c r="EK19" i="40"/>
  <c r="AE56" i="58"/>
  <c r="EK20" i="40"/>
  <c r="AE56" i="60"/>
  <c r="EK27" i="40"/>
  <c r="AE56" i="74"/>
  <c r="EK29" i="40"/>
  <c r="AE56" i="61"/>
  <c r="EK30" i="40"/>
  <c r="AE56" i="62"/>
  <c r="AQ6" i="40"/>
  <c r="BE6" i="40"/>
  <c r="CG6" i="40"/>
  <c r="CU6" i="40"/>
  <c r="DI6" i="40"/>
  <c r="EK6" i="40"/>
  <c r="AQ7" i="40"/>
  <c r="BE7" i="40"/>
  <c r="CG7" i="40"/>
  <c r="CU7" i="40"/>
  <c r="DI7" i="40"/>
  <c r="EK7" i="40"/>
  <c r="EK31" i="40"/>
  <c r="AE56" i="68"/>
  <c r="EK32" i="40"/>
  <c r="AE56" i="69"/>
  <c r="AE56" i="14"/>
  <c r="AR8" i="40"/>
  <c r="BF8" i="40"/>
  <c r="CH8" i="40"/>
  <c r="CV8" i="40"/>
  <c r="DJ8" i="40"/>
  <c r="EL8" i="40"/>
  <c r="EL13" i="40"/>
  <c r="AF56" i="66"/>
  <c r="EL14" i="40"/>
  <c r="AF56" i="63"/>
  <c r="EL15" i="40"/>
  <c r="AF56" i="55"/>
  <c r="EL17" i="40"/>
  <c r="AF56" i="57"/>
  <c r="AR9" i="40"/>
  <c r="BF9" i="40"/>
  <c r="CH9" i="40"/>
  <c r="CV9" i="40"/>
  <c r="DJ9" i="40"/>
  <c r="EL9" i="40"/>
  <c r="EL18" i="40"/>
  <c r="AF56" i="59"/>
  <c r="EL19" i="40"/>
  <c r="AF56" i="58"/>
  <c r="EL20" i="40"/>
  <c r="AF56" i="60"/>
  <c r="EL27" i="40"/>
  <c r="AF56" i="74"/>
  <c r="EL29" i="40"/>
  <c r="AF56" i="61"/>
  <c r="EL30" i="40"/>
  <c r="AF56" i="62"/>
  <c r="AR6" i="40"/>
  <c r="BF6" i="40"/>
  <c r="CH6" i="40"/>
  <c r="CV6" i="40"/>
  <c r="DJ6" i="40"/>
  <c r="EL6" i="40"/>
  <c r="AR7" i="40"/>
  <c r="BF7" i="40"/>
  <c r="CH7" i="40"/>
  <c r="CV7" i="40"/>
  <c r="DJ7" i="40"/>
  <c r="EL7" i="40"/>
  <c r="EL31" i="40"/>
  <c r="AF56" i="68"/>
  <c r="EL32" i="40"/>
  <c r="AF56" i="69"/>
  <c r="AF56" i="14"/>
  <c r="AG56" i="14"/>
  <c r="G68" i="65"/>
  <c r="S17" i="78"/>
  <c r="U57" i="66"/>
  <c r="S18" i="78"/>
  <c r="U57" i="63"/>
  <c r="S19" i="78"/>
  <c r="U57" i="55"/>
  <c r="T7" i="25"/>
  <c r="DQ7" i="25"/>
  <c r="DQ8" i="25"/>
  <c r="DQ35" i="25"/>
  <c r="S4" i="78"/>
  <c r="S8" i="78"/>
  <c r="S20" i="78"/>
  <c r="U57" i="57"/>
  <c r="S21" i="78"/>
  <c r="U57" i="59"/>
  <c r="S22" i="78"/>
  <c r="U57" i="58"/>
  <c r="S23" i="78"/>
  <c r="U57" i="60"/>
  <c r="S24" i="78"/>
  <c r="U57" i="74"/>
  <c r="S25" i="78"/>
  <c r="U57" i="61"/>
  <c r="S26" i="78"/>
  <c r="U57" i="62"/>
  <c r="S27" i="78"/>
  <c r="U57" i="68"/>
  <c r="S28" i="78"/>
  <c r="U57" i="69"/>
  <c r="U57" i="14"/>
  <c r="T17" i="78"/>
  <c r="V57" i="66"/>
  <c r="T18" i="78"/>
  <c r="V57" i="63"/>
  <c r="T19" i="78"/>
  <c r="V57" i="55"/>
  <c r="DR7" i="25"/>
  <c r="DR8" i="25"/>
  <c r="DR35" i="25"/>
  <c r="T4" i="78"/>
  <c r="T8" i="78"/>
  <c r="T20" i="78"/>
  <c r="V57" i="57"/>
  <c r="T21" i="78"/>
  <c r="V57" i="59"/>
  <c r="T22" i="78"/>
  <c r="V57" i="58"/>
  <c r="T23" i="78"/>
  <c r="V57" i="60"/>
  <c r="T24" i="78"/>
  <c r="V57" i="74"/>
  <c r="T25" i="78"/>
  <c r="V57" i="61"/>
  <c r="T26" i="78"/>
  <c r="V57" i="62"/>
  <c r="T27" i="78"/>
  <c r="V57" i="68"/>
  <c r="T28" i="78"/>
  <c r="V57" i="69"/>
  <c r="V57" i="14"/>
  <c r="U17" i="78"/>
  <c r="W57" i="66"/>
  <c r="U18" i="78"/>
  <c r="W57" i="63"/>
  <c r="U19" i="78"/>
  <c r="W57" i="55"/>
  <c r="DS7" i="25"/>
  <c r="DS8" i="25"/>
  <c r="DS35" i="25"/>
  <c r="U4" i="78"/>
  <c r="U8" i="78"/>
  <c r="U20" i="78"/>
  <c r="W57" i="57"/>
  <c r="U21" i="78"/>
  <c r="W57" i="59"/>
  <c r="U22" i="78"/>
  <c r="W57" i="58"/>
  <c r="U23" i="78"/>
  <c r="W57" i="60"/>
  <c r="U24" i="78"/>
  <c r="W57" i="74"/>
  <c r="U25" i="78"/>
  <c r="W57" i="61"/>
  <c r="U26" i="78"/>
  <c r="W57" i="62"/>
  <c r="U27" i="78"/>
  <c r="W57" i="68"/>
  <c r="U28" i="78"/>
  <c r="W57" i="69"/>
  <c r="W57" i="14"/>
  <c r="V17" i="78"/>
  <c r="X57" i="66"/>
  <c r="V18" i="78"/>
  <c r="X57" i="63"/>
  <c r="V19" i="78"/>
  <c r="X57" i="55"/>
  <c r="DT7" i="25"/>
  <c r="DT8" i="25"/>
  <c r="DT35" i="25"/>
  <c r="V4" i="78"/>
  <c r="V8" i="78"/>
  <c r="V20" i="78"/>
  <c r="X57" i="57"/>
  <c r="V21" i="78"/>
  <c r="X57" i="59"/>
  <c r="V22" i="78"/>
  <c r="X57" i="58"/>
  <c r="V23" i="78"/>
  <c r="X57" i="60"/>
  <c r="V24" i="78"/>
  <c r="X57" i="74"/>
  <c r="V25" i="78"/>
  <c r="X57" i="61"/>
  <c r="V26" i="78"/>
  <c r="X57" i="62"/>
  <c r="V27" i="78"/>
  <c r="X57" i="68"/>
  <c r="V28" i="78"/>
  <c r="X57" i="69"/>
  <c r="X57" i="14"/>
  <c r="W17" i="78"/>
  <c r="Y57" i="66"/>
  <c r="W18" i="78"/>
  <c r="Y57" i="63"/>
  <c r="W19" i="78"/>
  <c r="Y57" i="55"/>
  <c r="DU7" i="25"/>
  <c r="DU8" i="25"/>
  <c r="DU35" i="25"/>
  <c r="W4" i="78"/>
  <c r="W8" i="78"/>
  <c r="W20" i="78"/>
  <c r="Y57" i="57"/>
  <c r="W21" i="78"/>
  <c r="Y57" i="59"/>
  <c r="W22" i="78"/>
  <c r="Y57" i="58"/>
  <c r="W23" i="78"/>
  <c r="Y57" i="60"/>
  <c r="W24" i="78"/>
  <c r="Y57" i="74"/>
  <c r="W25" i="78"/>
  <c r="Y57" i="61"/>
  <c r="W26" i="78"/>
  <c r="Y57" i="62"/>
  <c r="W27" i="78"/>
  <c r="Y57" i="68"/>
  <c r="W28" i="78"/>
  <c r="Y57" i="69"/>
  <c r="Y57" i="14"/>
  <c r="X17" i="78"/>
  <c r="Z57" i="66"/>
  <c r="X18" i="78"/>
  <c r="Z57" i="63"/>
  <c r="X19" i="78"/>
  <c r="Z57" i="55"/>
  <c r="DV7" i="25"/>
  <c r="DV8" i="25"/>
  <c r="DV35" i="25"/>
  <c r="X4" i="78"/>
  <c r="X8" i="78"/>
  <c r="X20" i="78"/>
  <c r="Z57" i="57"/>
  <c r="X21" i="78"/>
  <c r="Z57" i="59"/>
  <c r="X22" i="78"/>
  <c r="Z57" i="58"/>
  <c r="X23" i="78"/>
  <c r="Z57" i="60"/>
  <c r="X24" i="78"/>
  <c r="Z57" i="74"/>
  <c r="X25" i="78"/>
  <c r="Z57" i="61"/>
  <c r="X26" i="78"/>
  <c r="Z57" i="62"/>
  <c r="X27" i="78"/>
  <c r="Z57" i="68"/>
  <c r="X28" i="78"/>
  <c r="Z57" i="69"/>
  <c r="Z57" i="14"/>
  <c r="Y17" i="78"/>
  <c r="AA57" i="66"/>
  <c r="Y18" i="78"/>
  <c r="AA57" i="63"/>
  <c r="Y19" i="78"/>
  <c r="AA57" i="55"/>
  <c r="DW7" i="25"/>
  <c r="DW8" i="25"/>
  <c r="DW35" i="25"/>
  <c r="Y4" i="78"/>
  <c r="Y8" i="78"/>
  <c r="Y20" i="78"/>
  <c r="AA57" i="57"/>
  <c r="Y21" i="78"/>
  <c r="AA57" i="59"/>
  <c r="Y22" i="78"/>
  <c r="AA57" i="58"/>
  <c r="Y23" i="78"/>
  <c r="AA57" i="60"/>
  <c r="Y24" i="78"/>
  <c r="AA57" i="74"/>
  <c r="Y25" i="78"/>
  <c r="AA57" i="61"/>
  <c r="Y26" i="78"/>
  <c r="AA57" i="62"/>
  <c r="Y27" i="78"/>
  <c r="AA57" i="68"/>
  <c r="Y28" i="78"/>
  <c r="AA57" i="69"/>
  <c r="AA57" i="14"/>
  <c r="Z17" i="78"/>
  <c r="AB57" i="66"/>
  <c r="Z18" i="78"/>
  <c r="AB57" i="63"/>
  <c r="Z19" i="78"/>
  <c r="AB57" i="55"/>
  <c r="DX7" i="25"/>
  <c r="DX8" i="25"/>
  <c r="DX35" i="25"/>
  <c r="Z4" i="78"/>
  <c r="Z8" i="78"/>
  <c r="Z20" i="78"/>
  <c r="AB57" i="57"/>
  <c r="Z21" i="78"/>
  <c r="AB57" i="59"/>
  <c r="Z22" i="78"/>
  <c r="AB57" i="58"/>
  <c r="Z23" i="78"/>
  <c r="AB57" i="60"/>
  <c r="Z24" i="78"/>
  <c r="AB57" i="74"/>
  <c r="Z25" i="78"/>
  <c r="AB57" i="61"/>
  <c r="Z26" i="78"/>
  <c r="AB57" i="62"/>
  <c r="Z27" i="78"/>
  <c r="AB57" i="68"/>
  <c r="Z28" i="78"/>
  <c r="AB57" i="69"/>
  <c r="AB57" i="14"/>
  <c r="AA17" i="78"/>
  <c r="AC57" i="66"/>
  <c r="AA18" i="78"/>
  <c r="AC57" i="63"/>
  <c r="AA19" i="78"/>
  <c r="AC57" i="55"/>
  <c r="DY7" i="25"/>
  <c r="DY8" i="25"/>
  <c r="DY35" i="25"/>
  <c r="AA4" i="78"/>
  <c r="AA8" i="78"/>
  <c r="AA20" i="78"/>
  <c r="AC57" i="57"/>
  <c r="AA21" i="78"/>
  <c r="AC57" i="59"/>
  <c r="AA22" i="78"/>
  <c r="AC57" i="58"/>
  <c r="AA23" i="78"/>
  <c r="AC57" i="60"/>
  <c r="AA24" i="78"/>
  <c r="AC57" i="74"/>
  <c r="AA25" i="78"/>
  <c r="AC57" i="61"/>
  <c r="AA26" i="78"/>
  <c r="AC57" i="62"/>
  <c r="AA27" i="78"/>
  <c r="AC57" i="68"/>
  <c r="AA28" i="78"/>
  <c r="AC57" i="69"/>
  <c r="AC57" i="14"/>
  <c r="AB17" i="78"/>
  <c r="AD57" i="66"/>
  <c r="AB18" i="78"/>
  <c r="AD57" i="63"/>
  <c r="AB19" i="78"/>
  <c r="AD57" i="55"/>
  <c r="DZ7" i="25"/>
  <c r="DZ8" i="25"/>
  <c r="DZ35" i="25"/>
  <c r="AB4" i="78"/>
  <c r="AB8" i="78"/>
  <c r="AB20" i="78"/>
  <c r="AD57" i="57"/>
  <c r="AB21" i="78"/>
  <c r="AD57" i="59"/>
  <c r="AB22" i="78"/>
  <c r="AD57" i="58"/>
  <c r="AB23" i="78"/>
  <c r="AD57" i="60"/>
  <c r="AB24" i="78"/>
  <c r="AD57" i="74"/>
  <c r="AB25" i="78"/>
  <c r="AD57" i="61"/>
  <c r="AB26" i="78"/>
  <c r="AD57" i="62"/>
  <c r="AB27" i="78"/>
  <c r="AD57" i="68"/>
  <c r="AB28" i="78"/>
  <c r="AD57" i="69"/>
  <c r="AD57" i="14"/>
  <c r="AC17" i="78"/>
  <c r="AE57" i="66"/>
  <c r="AC18" i="78"/>
  <c r="AE57" i="63"/>
  <c r="AC19" i="78"/>
  <c r="AE57" i="55"/>
  <c r="EA7" i="25"/>
  <c r="EA8" i="25"/>
  <c r="EA35" i="25"/>
  <c r="AC4" i="78"/>
  <c r="AC8" i="78"/>
  <c r="AC20" i="78"/>
  <c r="AE57" i="57"/>
  <c r="AC21" i="78"/>
  <c r="AE57" i="59"/>
  <c r="AC22" i="78"/>
  <c r="AE57" i="58"/>
  <c r="AC23" i="78"/>
  <c r="AE57" i="60"/>
  <c r="AC24" i="78"/>
  <c r="AE57" i="74"/>
  <c r="AC25" i="78"/>
  <c r="AE57" i="61"/>
  <c r="AC26" i="78"/>
  <c r="AE57" i="62"/>
  <c r="AC27" i="78"/>
  <c r="AE57" i="68"/>
  <c r="AC28" i="78"/>
  <c r="AE57" i="69"/>
  <c r="AE57" i="14"/>
  <c r="AD17" i="78"/>
  <c r="AF57" i="66"/>
  <c r="AD18" i="78"/>
  <c r="AF57" i="63"/>
  <c r="AD19" i="78"/>
  <c r="AF57" i="55"/>
  <c r="EB7" i="25"/>
  <c r="EB8" i="25"/>
  <c r="EB35" i="25"/>
  <c r="AD4" i="78"/>
  <c r="AD8" i="78"/>
  <c r="AD20" i="78"/>
  <c r="AF57" i="57"/>
  <c r="AD21" i="78"/>
  <c r="AF57" i="59"/>
  <c r="AD22" i="78"/>
  <c r="AF57" i="58"/>
  <c r="AD23" i="78"/>
  <c r="AF57" i="60"/>
  <c r="AD24" i="78"/>
  <c r="AF57" i="74"/>
  <c r="AD25" i="78"/>
  <c r="AF57" i="61"/>
  <c r="AD26" i="78"/>
  <c r="AF57" i="62"/>
  <c r="AD27" i="78"/>
  <c r="AF57" i="68"/>
  <c r="AD28" i="78"/>
  <c r="AF57" i="69"/>
  <c r="AF57" i="14"/>
  <c r="AG57" i="14"/>
  <c r="G69" i="65"/>
  <c r="S18" i="79"/>
  <c r="U58" i="66"/>
  <c r="S19" i="79"/>
  <c r="U58" i="63"/>
  <c r="S20" i="79"/>
  <c r="U58" i="55"/>
  <c r="S5" i="79" a="1"/>
  <c r="S5" i="79"/>
  <c r="S6" i="79"/>
  <c r="S21" i="79"/>
  <c r="U58" i="57"/>
  <c r="S22" i="79"/>
  <c r="U58" i="59"/>
  <c r="S23" i="79"/>
  <c r="U58" i="58"/>
  <c r="S24" i="79"/>
  <c r="U58" i="60"/>
  <c r="S25" i="79"/>
  <c r="U58" i="74"/>
  <c r="S26" i="79"/>
  <c r="U58" i="61"/>
  <c r="S27" i="79"/>
  <c r="U58" i="62"/>
  <c r="S28" i="79"/>
  <c r="U58" i="68"/>
  <c r="S29" i="79"/>
  <c r="U58" i="69"/>
  <c r="U58" i="14"/>
  <c r="T18" i="79"/>
  <c r="V58" i="66"/>
  <c r="T19" i="79"/>
  <c r="V58" i="63"/>
  <c r="T20" i="79"/>
  <c r="V58" i="55"/>
  <c r="T5" i="79"/>
  <c r="T6" i="79"/>
  <c r="T21" i="79"/>
  <c r="V58" i="57"/>
  <c r="T22" i="79"/>
  <c r="V58" i="59"/>
  <c r="T23" i="79"/>
  <c r="V58" i="58"/>
  <c r="T24" i="79"/>
  <c r="V58" i="60"/>
  <c r="T25" i="79"/>
  <c r="V58" i="74"/>
  <c r="T26" i="79"/>
  <c r="V58" i="61"/>
  <c r="T27" i="79"/>
  <c r="V58" i="62"/>
  <c r="T28" i="79"/>
  <c r="V58" i="68"/>
  <c r="T29" i="79"/>
  <c r="V58" i="69"/>
  <c r="V58" i="14"/>
  <c r="U18" i="79"/>
  <c r="W58" i="66"/>
  <c r="U19" i="79"/>
  <c r="W58" i="63"/>
  <c r="U20" i="79"/>
  <c r="W58" i="55"/>
  <c r="U5" i="79"/>
  <c r="U6" i="79"/>
  <c r="U21" i="79"/>
  <c r="W58" i="57"/>
  <c r="U22" i="79"/>
  <c r="W58" i="59"/>
  <c r="U23" i="79"/>
  <c r="W58" i="58"/>
  <c r="U24" i="79"/>
  <c r="W58" i="60"/>
  <c r="U25" i="79"/>
  <c r="W58" i="74"/>
  <c r="U26" i="79"/>
  <c r="W58" i="61"/>
  <c r="U27" i="79"/>
  <c r="W58" i="62"/>
  <c r="U28" i="79"/>
  <c r="W58" i="68"/>
  <c r="U29" i="79"/>
  <c r="W58" i="69"/>
  <c r="W58" i="14"/>
  <c r="V18" i="79"/>
  <c r="X58" i="66"/>
  <c r="V19" i="79"/>
  <c r="X58" i="63"/>
  <c r="V20" i="79"/>
  <c r="X58" i="55"/>
  <c r="V5" i="79"/>
  <c r="V6" i="79"/>
  <c r="V21" i="79"/>
  <c r="X58" i="57"/>
  <c r="V22" i="79"/>
  <c r="X58" i="59"/>
  <c r="V23" i="79"/>
  <c r="X58" i="58"/>
  <c r="V24" i="79"/>
  <c r="X58" i="60"/>
  <c r="V25" i="79"/>
  <c r="X58" i="74"/>
  <c r="V26" i="79"/>
  <c r="X58" i="61"/>
  <c r="V27" i="79"/>
  <c r="X58" i="62"/>
  <c r="V28" i="79"/>
  <c r="X58" i="68"/>
  <c r="V29" i="79"/>
  <c r="X58" i="69"/>
  <c r="X58" i="14"/>
  <c r="W18" i="79"/>
  <c r="Y58" i="66"/>
  <c r="W19" i="79"/>
  <c r="Y58" i="63"/>
  <c r="W20" i="79"/>
  <c r="Y58" i="55"/>
  <c r="W5" i="79"/>
  <c r="W6" i="79"/>
  <c r="W21" i="79"/>
  <c r="Y58" i="57"/>
  <c r="W22" i="79"/>
  <c r="Y58" i="59"/>
  <c r="W23" i="79"/>
  <c r="Y58" i="58"/>
  <c r="W24" i="79"/>
  <c r="Y58" i="60"/>
  <c r="W25" i="79"/>
  <c r="Y58" i="74"/>
  <c r="W26" i="79"/>
  <c r="Y58" i="61"/>
  <c r="W27" i="79"/>
  <c r="Y58" i="62"/>
  <c r="W28" i="79"/>
  <c r="Y58" i="68"/>
  <c r="W29" i="79"/>
  <c r="Y58" i="69"/>
  <c r="Y58" i="14"/>
  <c r="X18" i="79"/>
  <c r="Z58" i="66"/>
  <c r="X19" i="79"/>
  <c r="Z58" i="63"/>
  <c r="X20" i="79"/>
  <c r="Z58" i="55"/>
  <c r="X5" i="79"/>
  <c r="X6" i="79"/>
  <c r="X21" i="79"/>
  <c r="Z58" i="57"/>
  <c r="X22" i="79"/>
  <c r="Z58" i="59"/>
  <c r="X23" i="79"/>
  <c r="Z58" i="58"/>
  <c r="X24" i="79"/>
  <c r="Z58" i="60"/>
  <c r="X25" i="79"/>
  <c r="Z58" i="74"/>
  <c r="X26" i="79"/>
  <c r="Z58" i="61"/>
  <c r="X27" i="79"/>
  <c r="Z58" i="62"/>
  <c r="X28" i="79"/>
  <c r="Z58" i="68"/>
  <c r="X29" i="79"/>
  <c r="Z58" i="69"/>
  <c r="Z58" i="14"/>
  <c r="Y18" i="79"/>
  <c r="AA58" i="66"/>
  <c r="Y19" i="79"/>
  <c r="AA58" i="63"/>
  <c r="Y20" i="79"/>
  <c r="AA58" i="55"/>
  <c r="Y5" i="79"/>
  <c r="Y6" i="79"/>
  <c r="Y21" i="79"/>
  <c r="AA58" i="57"/>
  <c r="Y22" i="79"/>
  <c r="AA58" i="59"/>
  <c r="Y23" i="79"/>
  <c r="AA58" i="58"/>
  <c r="Y24" i="79"/>
  <c r="AA58" i="60"/>
  <c r="Y25" i="79"/>
  <c r="AA58" i="74"/>
  <c r="Y26" i="79"/>
  <c r="AA58" i="61"/>
  <c r="Y27" i="79"/>
  <c r="AA58" i="62"/>
  <c r="Y28" i="79"/>
  <c r="AA58" i="68"/>
  <c r="Y29" i="79"/>
  <c r="AA58" i="69"/>
  <c r="AA58" i="14"/>
  <c r="Z18" i="79"/>
  <c r="AB58" i="66"/>
  <c r="Z19" i="79"/>
  <c r="AB58" i="63"/>
  <c r="Z20" i="79"/>
  <c r="AB58" i="55"/>
  <c r="Z5" i="79"/>
  <c r="Z6" i="79"/>
  <c r="Z21" i="79"/>
  <c r="AB58" i="57"/>
  <c r="Z22" i="79"/>
  <c r="AB58" i="59"/>
  <c r="Z23" i="79"/>
  <c r="AB58" i="58"/>
  <c r="Z24" i="79"/>
  <c r="AB58" i="60"/>
  <c r="Z25" i="79"/>
  <c r="AB58" i="74"/>
  <c r="Z26" i="79"/>
  <c r="AB58" i="61"/>
  <c r="Z27" i="79"/>
  <c r="AB58" i="62"/>
  <c r="Z28" i="79"/>
  <c r="AB58" i="68"/>
  <c r="Z29" i="79"/>
  <c r="AB58" i="69"/>
  <c r="AB58" i="14"/>
  <c r="AA18" i="79"/>
  <c r="AC58" i="66"/>
  <c r="AA19" i="79"/>
  <c r="AC58" i="63"/>
  <c r="AA20" i="79"/>
  <c r="AC58" i="55"/>
  <c r="AA5" i="79"/>
  <c r="AA6" i="79"/>
  <c r="AA21" i="79"/>
  <c r="AC58" i="57"/>
  <c r="AA22" i="79"/>
  <c r="AC58" i="59"/>
  <c r="AA23" i="79"/>
  <c r="AC58" i="58"/>
  <c r="AA24" i="79"/>
  <c r="AC58" i="60"/>
  <c r="AA25" i="79"/>
  <c r="AC58" i="74"/>
  <c r="AA26" i="79"/>
  <c r="AC58" i="61"/>
  <c r="AA27" i="79"/>
  <c r="AC58" i="62"/>
  <c r="AA28" i="79"/>
  <c r="AC58" i="68"/>
  <c r="AA29" i="79"/>
  <c r="AC58" i="69"/>
  <c r="AC58" i="14"/>
  <c r="AB18" i="79"/>
  <c r="AD58" i="66"/>
  <c r="AB19" i="79"/>
  <c r="AD58" i="63"/>
  <c r="AB20" i="79"/>
  <c r="AD58" i="55"/>
  <c r="AB5" i="79"/>
  <c r="AB6" i="79"/>
  <c r="AB21" i="79"/>
  <c r="AD58" i="57"/>
  <c r="AB22" i="79"/>
  <c r="AD58" i="59"/>
  <c r="AB23" i="79"/>
  <c r="AD58" i="58"/>
  <c r="AB24" i="79"/>
  <c r="AD58" i="60"/>
  <c r="AB25" i="79"/>
  <c r="AD58" i="74"/>
  <c r="AB26" i="79"/>
  <c r="AD58" i="61"/>
  <c r="AB27" i="79"/>
  <c r="AD58" i="62"/>
  <c r="AB28" i="79"/>
  <c r="AD58" i="68"/>
  <c r="AB29" i="79"/>
  <c r="AD58" i="69"/>
  <c r="AD58" i="14"/>
  <c r="AC18" i="79"/>
  <c r="AE58" i="66"/>
  <c r="AC19" i="79"/>
  <c r="AE58" i="63"/>
  <c r="AC20" i="79"/>
  <c r="AE58" i="55"/>
  <c r="AC5" i="79"/>
  <c r="AC6" i="79"/>
  <c r="AC21" i="79"/>
  <c r="AE58" i="57"/>
  <c r="AC22" i="79"/>
  <c r="AE58" i="59"/>
  <c r="AC23" i="79"/>
  <c r="AE58" i="58"/>
  <c r="AC24" i="79"/>
  <c r="AE58" i="60"/>
  <c r="AC25" i="79"/>
  <c r="AE58" i="74"/>
  <c r="AC26" i="79"/>
  <c r="AE58" i="61"/>
  <c r="AC27" i="79"/>
  <c r="AE58" i="62"/>
  <c r="AC28" i="79"/>
  <c r="AE58" i="68"/>
  <c r="AC29" i="79"/>
  <c r="AE58" i="69"/>
  <c r="AE58" i="14"/>
  <c r="AD18" i="79"/>
  <c r="AF58" i="66"/>
  <c r="AD19" i="79"/>
  <c r="AF58" i="63"/>
  <c r="AD20" i="79"/>
  <c r="AF58" i="55"/>
  <c r="AD5" i="79"/>
  <c r="AD6" i="79"/>
  <c r="AD21" i="79"/>
  <c r="AF58" i="57"/>
  <c r="AD22" i="79"/>
  <c r="AF58" i="59"/>
  <c r="AD23" i="79"/>
  <c r="AF58" i="58"/>
  <c r="AD24" i="79"/>
  <c r="AF58" i="60"/>
  <c r="AD25" i="79"/>
  <c r="AF58" i="74"/>
  <c r="AD26" i="79"/>
  <c r="AF58" i="61"/>
  <c r="AD27" i="79"/>
  <c r="AF58" i="62"/>
  <c r="AD28" i="79"/>
  <c r="AF58" i="68"/>
  <c r="AD29" i="79"/>
  <c r="AF58" i="69"/>
  <c r="AF58" i="14"/>
  <c r="AG58" i="14"/>
  <c r="G70" i="65"/>
  <c r="U53" i="41"/>
  <c r="U59" i="66"/>
  <c r="U54" i="41"/>
  <c r="U59" i="63"/>
  <c r="U56" i="41"/>
  <c r="U59" i="57"/>
  <c r="U57" i="41"/>
  <c r="U59" i="59"/>
  <c r="U58" i="41"/>
  <c r="U59" i="58"/>
  <c r="U59" i="14"/>
  <c r="V53" i="41"/>
  <c r="V59" i="66"/>
  <c r="V54" i="41"/>
  <c r="V59" i="63"/>
  <c r="V56" i="41"/>
  <c r="V59" i="57"/>
  <c r="V57" i="41"/>
  <c r="V59" i="59"/>
  <c r="V58" i="41"/>
  <c r="V59" i="58"/>
  <c r="V59" i="14"/>
  <c r="W53" i="41"/>
  <c r="W59" i="66"/>
  <c r="W54" i="41"/>
  <c r="W59" i="63"/>
  <c r="W56" i="41"/>
  <c r="W59" i="57"/>
  <c r="W57" i="41"/>
  <c r="W59" i="59"/>
  <c r="W58" i="41"/>
  <c r="W59" i="58"/>
  <c r="W59" i="14"/>
  <c r="X53" i="41"/>
  <c r="X59" i="66"/>
  <c r="X54" i="41"/>
  <c r="X59" i="63"/>
  <c r="X56" i="41"/>
  <c r="X59" i="57"/>
  <c r="X57" i="41"/>
  <c r="X59" i="59"/>
  <c r="X58" i="41"/>
  <c r="X59" i="58"/>
  <c r="X59" i="14"/>
  <c r="Y53" i="41"/>
  <c r="Y59" i="66"/>
  <c r="Y54" i="41"/>
  <c r="Y59" i="63"/>
  <c r="Y56" i="41"/>
  <c r="Y59" i="57"/>
  <c r="Y57" i="41"/>
  <c r="Y59" i="59"/>
  <c r="Y58" i="41"/>
  <c r="Y59" i="58"/>
  <c r="Y59" i="14"/>
  <c r="Z53" i="41"/>
  <c r="Z59" i="66"/>
  <c r="Z54" i="41"/>
  <c r="Z59" i="63"/>
  <c r="Z56" i="41"/>
  <c r="Z59" i="57"/>
  <c r="Z57" i="41"/>
  <c r="Z59" i="59"/>
  <c r="Z58" i="41"/>
  <c r="Z59" i="58"/>
  <c r="Z59" i="14"/>
  <c r="AA53" i="41"/>
  <c r="AA59" i="66"/>
  <c r="AA54" i="41"/>
  <c r="AA59" i="63"/>
  <c r="AA56" i="41"/>
  <c r="AA59" i="57"/>
  <c r="AA57" i="41"/>
  <c r="AA59" i="59"/>
  <c r="AA58" i="41"/>
  <c r="AA59" i="58"/>
  <c r="AA59" i="14"/>
  <c r="AB53" i="41"/>
  <c r="AB59" i="66"/>
  <c r="AB54" i="41"/>
  <c r="AB59" i="63"/>
  <c r="AB56" i="41"/>
  <c r="AB59" i="57"/>
  <c r="AB57" i="41"/>
  <c r="AB59" i="59"/>
  <c r="AB58" i="41"/>
  <c r="AB59" i="58"/>
  <c r="AB59" i="14"/>
  <c r="AC53" i="41"/>
  <c r="AC59" i="66"/>
  <c r="AC54" i="41"/>
  <c r="AC59" i="63"/>
  <c r="AC56" i="41"/>
  <c r="AC59" i="57"/>
  <c r="AC57" i="41"/>
  <c r="AC59" i="59"/>
  <c r="AC58" i="41"/>
  <c r="AC59" i="58"/>
  <c r="AC59" i="14"/>
  <c r="AD53" i="41"/>
  <c r="AD59" i="66"/>
  <c r="AD54" i="41"/>
  <c r="AD59" i="63"/>
  <c r="AD56" i="41"/>
  <c r="AD59" i="57"/>
  <c r="AD57" i="41"/>
  <c r="AD59" i="59"/>
  <c r="AD58" i="41"/>
  <c r="AD59" i="58"/>
  <c r="AD59" i="14"/>
  <c r="AE53" i="41"/>
  <c r="AE59" i="66"/>
  <c r="AE54" i="41"/>
  <c r="AE59" i="63"/>
  <c r="AE56" i="41"/>
  <c r="AE59" i="57"/>
  <c r="AE57" i="41"/>
  <c r="AE59" i="59"/>
  <c r="AE58" i="41"/>
  <c r="AE59" i="58"/>
  <c r="AE59" i="14"/>
  <c r="AF53" i="41"/>
  <c r="AF59" i="66"/>
  <c r="AF54" i="41"/>
  <c r="AF59" i="63"/>
  <c r="AF56" i="41"/>
  <c r="AF59" i="57"/>
  <c r="AF57" i="41"/>
  <c r="AF59" i="59"/>
  <c r="AF58" i="41"/>
  <c r="AF59" i="58"/>
  <c r="AF59" i="14"/>
  <c r="AG59" i="14"/>
  <c r="G71" i="65"/>
  <c r="DC32" i="25"/>
  <c r="U60" i="66"/>
  <c r="DC33" i="25"/>
  <c r="U60" i="63"/>
  <c r="DC34" i="25"/>
  <c r="U60" i="55"/>
  <c r="DC35" i="25"/>
  <c r="U60" i="57"/>
  <c r="DC36" i="25"/>
  <c r="U60" i="59"/>
  <c r="DC37" i="25"/>
  <c r="U60" i="58"/>
  <c r="DC38" i="25"/>
  <c r="U60" i="60"/>
  <c r="DC39" i="25"/>
  <c r="U60" i="74"/>
  <c r="DC40" i="25"/>
  <c r="U60" i="61"/>
  <c r="DC41" i="25"/>
  <c r="U60" i="62"/>
  <c r="DC42" i="25"/>
  <c r="U60" i="68"/>
  <c r="DC43" i="25"/>
  <c r="U60" i="69"/>
  <c r="U60" i="14"/>
  <c r="DD32" i="25"/>
  <c r="V60" i="66"/>
  <c r="DD33" i="25"/>
  <c r="V60" i="63"/>
  <c r="DD34" i="25"/>
  <c r="V60" i="55"/>
  <c r="DD35" i="25"/>
  <c r="V60" i="57"/>
  <c r="DD36" i="25"/>
  <c r="V60" i="59"/>
  <c r="DD37" i="25"/>
  <c r="V60" i="58"/>
  <c r="DD38" i="25"/>
  <c r="V60" i="60"/>
  <c r="DD39" i="25"/>
  <c r="V60" i="74"/>
  <c r="DD40" i="25"/>
  <c r="V60" i="61"/>
  <c r="DD41" i="25"/>
  <c r="V60" i="62"/>
  <c r="DD42" i="25"/>
  <c r="V60" i="68"/>
  <c r="DD43" i="25"/>
  <c r="V60" i="69"/>
  <c r="V60" i="14"/>
  <c r="DE32" i="25"/>
  <c r="W60" i="66"/>
  <c r="DE33" i="25"/>
  <c r="W60" i="63"/>
  <c r="DE34" i="25"/>
  <c r="W60" i="55"/>
  <c r="DE35" i="25"/>
  <c r="W60" i="57"/>
  <c r="DE36" i="25"/>
  <c r="W60" i="59"/>
  <c r="DE37" i="25"/>
  <c r="W60" i="58"/>
  <c r="DE38" i="25"/>
  <c r="W60" i="60"/>
  <c r="DE39" i="25"/>
  <c r="W60" i="74"/>
  <c r="DE40" i="25"/>
  <c r="W60" i="61"/>
  <c r="DE41" i="25"/>
  <c r="W60" i="62"/>
  <c r="DE42" i="25"/>
  <c r="W60" i="68"/>
  <c r="DE43" i="25"/>
  <c r="W60" i="69"/>
  <c r="W60" i="14"/>
  <c r="DF32" i="25"/>
  <c r="X60" i="66"/>
  <c r="DF33" i="25"/>
  <c r="X60" i="63"/>
  <c r="DF34" i="25"/>
  <c r="X60" i="55"/>
  <c r="DF35" i="25"/>
  <c r="X60" i="57"/>
  <c r="DF36" i="25"/>
  <c r="X60" i="59"/>
  <c r="DF37" i="25"/>
  <c r="X60" i="58"/>
  <c r="DF38" i="25"/>
  <c r="X60" i="60"/>
  <c r="DF39" i="25"/>
  <c r="X60" i="74"/>
  <c r="DF40" i="25"/>
  <c r="X60" i="61"/>
  <c r="DF41" i="25"/>
  <c r="X60" i="62"/>
  <c r="DF42" i="25"/>
  <c r="X60" i="68"/>
  <c r="DF43" i="25"/>
  <c r="X60" i="69"/>
  <c r="X60" i="14"/>
  <c r="DG32" i="25"/>
  <c r="Y60" i="66"/>
  <c r="DG33" i="25"/>
  <c r="Y60" i="63"/>
  <c r="DG34" i="25"/>
  <c r="Y60" i="55"/>
  <c r="DG35" i="25"/>
  <c r="Y60" i="57"/>
  <c r="DG36" i="25"/>
  <c r="Y60" i="59"/>
  <c r="DG37" i="25"/>
  <c r="Y60" i="58"/>
  <c r="DG38" i="25"/>
  <c r="Y60" i="60"/>
  <c r="DG39" i="25"/>
  <c r="Y60" i="74"/>
  <c r="DG40" i="25"/>
  <c r="Y60" i="61"/>
  <c r="DG41" i="25"/>
  <c r="Y60" i="62"/>
  <c r="DG42" i="25"/>
  <c r="Y60" i="68"/>
  <c r="DG43" i="25"/>
  <c r="Y60" i="69"/>
  <c r="Y60" i="14"/>
  <c r="DH32" i="25"/>
  <c r="Z60" i="66"/>
  <c r="DH33" i="25"/>
  <c r="Z60" i="63"/>
  <c r="DH34" i="25"/>
  <c r="Z60" i="55"/>
  <c r="DH35" i="25"/>
  <c r="Z60" i="57"/>
  <c r="DH36" i="25"/>
  <c r="Z60" i="59"/>
  <c r="DH37" i="25"/>
  <c r="Z60" i="58"/>
  <c r="DH38" i="25"/>
  <c r="Z60" i="60"/>
  <c r="DH39" i="25"/>
  <c r="Z60" i="74"/>
  <c r="DH40" i="25"/>
  <c r="Z60" i="61"/>
  <c r="DH41" i="25"/>
  <c r="Z60" i="62"/>
  <c r="DH42" i="25"/>
  <c r="Z60" i="68"/>
  <c r="DH43" i="25"/>
  <c r="Z60" i="69"/>
  <c r="Z60" i="14"/>
  <c r="DI32" i="25"/>
  <c r="AA60" i="66"/>
  <c r="DI33" i="25"/>
  <c r="AA60" i="63"/>
  <c r="DI34" i="25"/>
  <c r="AA60" i="55"/>
  <c r="DI35" i="25"/>
  <c r="AA60" i="57"/>
  <c r="DI36" i="25"/>
  <c r="AA60" i="59"/>
  <c r="DI37" i="25"/>
  <c r="AA60" i="58"/>
  <c r="DI38" i="25"/>
  <c r="AA60" i="60"/>
  <c r="DI39" i="25"/>
  <c r="AA60" i="74"/>
  <c r="DI40" i="25"/>
  <c r="AA60" i="61"/>
  <c r="DI41" i="25"/>
  <c r="AA60" i="62"/>
  <c r="DI42" i="25"/>
  <c r="AA60" i="68"/>
  <c r="DI43" i="25"/>
  <c r="AA60" i="69"/>
  <c r="AA60" i="14"/>
  <c r="DJ32" i="25"/>
  <c r="AB60" i="66"/>
  <c r="DJ33" i="25"/>
  <c r="AB60" i="63"/>
  <c r="DJ34" i="25"/>
  <c r="AB60" i="55"/>
  <c r="DJ35" i="25"/>
  <c r="AB60" i="57"/>
  <c r="DJ36" i="25"/>
  <c r="AB60" i="59"/>
  <c r="DJ37" i="25"/>
  <c r="AB60" i="58"/>
  <c r="DJ38" i="25"/>
  <c r="AB60" i="60"/>
  <c r="DJ39" i="25"/>
  <c r="AB60" i="74"/>
  <c r="DJ40" i="25"/>
  <c r="AB60" i="61"/>
  <c r="DJ41" i="25"/>
  <c r="AB60" i="62"/>
  <c r="DJ42" i="25"/>
  <c r="AB60" i="68"/>
  <c r="DJ43" i="25"/>
  <c r="AB60" i="69"/>
  <c r="AB60" i="14"/>
  <c r="DK32" i="25"/>
  <c r="AC60" i="66"/>
  <c r="DK33" i="25"/>
  <c r="AC60" i="63"/>
  <c r="DK34" i="25"/>
  <c r="AC60" i="55"/>
  <c r="DK35" i="25"/>
  <c r="AC60" i="57"/>
  <c r="DK36" i="25"/>
  <c r="AC60" i="59"/>
  <c r="DK37" i="25"/>
  <c r="AC60" i="58"/>
  <c r="DK38" i="25"/>
  <c r="AC60" i="60"/>
  <c r="DK39" i="25"/>
  <c r="AC60" i="74"/>
  <c r="DK40" i="25"/>
  <c r="AC60" i="61"/>
  <c r="DK41" i="25"/>
  <c r="AC60" i="62"/>
  <c r="DK42" i="25"/>
  <c r="AC60" i="68"/>
  <c r="DK43" i="25"/>
  <c r="AC60" i="69"/>
  <c r="AC60" i="14"/>
  <c r="DL32" i="25"/>
  <c r="AD60" i="66"/>
  <c r="DL33" i="25"/>
  <c r="AD60" i="63"/>
  <c r="DL34" i="25"/>
  <c r="AD60" i="55"/>
  <c r="DL35" i="25"/>
  <c r="AD60" i="57"/>
  <c r="DL36" i="25"/>
  <c r="AD60" i="59"/>
  <c r="DL37" i="25"/>
  <c r="AD60" i="58"/>
  <c r="DL38" i="25"/>
  <c r="AD60" i="60"/>
  <c r="DL39" i="25"/>
  <c r="AD60" i="74"/>
  <c r="DL40" i="25"/>
  <c r="AD60" i="61"/>
  <c r="DL41" i="25"/>
  <c r="AD60" i="62"/>
  <c r="DL42" i="25"/>
  <c r="AD60" i="68"/>
  <c r="DL43" i="25"/>
  <c r="AD60" i="69"/>
  <c r="AD60" i="14"/>
  <c r="DM32" i="25"/>
  <c r="AE60" i="66"/>
  <c r="DM33" i="25"/>
  <c r="AE60" i="63"/>
  <c r="DM34" i="25"/>
  <c r="AE60" i="55"/>
  <c r="DM35" i="25"/>
  <c r="AE60" i="57"/>
  <c r="DM36" i="25"/>
  <c r="AE60" i="59"/>
  <c r="DM37" i="25"/>
  <c r="AE60" i="58"/>
  <c r="DM38" i="25"/>
  <c r="AE60" i="60"/>
  <c r="DM39" i="25"/>
  <c r="AE60" i="74"/>
  <c r="DM40" i="25"/>
  <c r="AE60" i="61"/>
  <c r="DM41" i="25"/>
  <c r="AE60" i="62"/>
  <c r="DM42" i="25"/>
  <c r="AE60" i="68"/>
  <c r="DM43" i="25"/>
  <c r="AE60" i="69"/>
  <c r="AE60" i="14"/>
  <c r="DN32" i="25"/>
  <c r="AF60" i="66"/>
  <c r="DN33" i="25"/>
  <c r="AF60" i="63"/>
  <c r="DN34" i="25"/>
  <c r="AF60" i="55"/>
  <c r="DN35" i="25"/>
  <c r="AF60" i="57"/>
  <c r="DN36" i="25"/>
  <c r="AF60" i="59"/>
  <c r="DN37" i="25"/>
  <c r="AF60" i="58"/>
  <c r="DN38" i="25"/>
  <c r="AF60" i="60"/>
  <c r="DN39" i="25"/>
  <c r="AF60" i="74"/>
  <c r="DN40" i="25"/>
  <c r="AF60" i="61"/>
  <c r="DN41" i="25"/>
  <c r="AF60" i="62"/>
  <c r="DN42" i="25"/>
  <c r="AF60" i="68"/>
  <c r="DN43" i="25"/>
  <c r="AF60" i="69"/>
  <c r="AF60" i="14"/>
  <c r="AG60" i="14"/>
  <c r="G72" i="65"/>
  <c r="G73" i="65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G76" i="65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G75" i="65"/>
  <c r="G77" i="65"/>
  <c r="G175" i="65"/>
  <c r="G33" i="65"/>
  <c r="G39" i="65"/>
  <c r="H39" i="65"/>
  <c r="H33" i="65"/>
  <c r="H28" i="65"/>
  <c r="H14" i="65"/>
  <c r="H16" i="65"/>
  <c r="H17" i="65"/>
  <c r="H21" i="65"/>
  <c r="H23" i="65"/>
  <c r="H24" i="65"/>
  <c r="G32" i="65"/>
  <c r="G38" i="65"/>
  <c r="H38" i="65"/>
  <c r="H32" i="65"/>
  <c r="H27" i="65"/>
  <c r="H29" i="65"/>
  <c r="H35" i="65"/>
  <c r="H63" i="65"/>
  <c r="H61" i="65"/>
  <c r="H66" i="65"/>
  <c r="H67" i="65"/>
  <c r="H68" i="65"/>
  <c r="H70" i="65"/>
  <c r="H71" i="65"/>
  <c r="H72" i="65"/>
  <c r="H73" i="65"/>
  <c r="H51" i="65"/>
  <c r="H52" i="65"/>
  <c r="H53" i="65"/>
  <c r="H54" i="65"/>
  <c r="H55" i="65"/>
  <c r="H56" i="65"/>
  <c r="H57" i="65"/>
  <c r="H58" i="65"/>
  <c r="H59" i="65"/>
  <c r="H44" i="65"/>
  <c r="H45" i="65"/>
  <c r="H46" i="65"/>
  <c r="H47" i="65"/>
  <c r="H48" i="65"/>
  <c r="H49" i="65"/>
  <c r="H77" i="65"/>
  <c r="I39" i="65"/>
  <c r="I33" i="65"/>
  <c r="I28" i="65"/>
  <c r="I14" i="65"/>
  <c r="I16" i="65"/>
  <c r="I17" i="65"/>
  <c r="I21" i="65"/>
  <c r="I23" i="65"/>
  <c r="I24" i="65"/>
  <c r="I38" i="65"/>
  <c r="I32" i="65"/>
  <c r="I27" i="65"/>
  <c r="I29" i="65"/>
  <c r="I35" i="65"/>
  <c r="I63" i="65"/>
  <c r="I61" i="65"/>
  <c r="I66" i="65"/>
  <c r="I67" i="65"/>
  <c r="I68" i="65"/>
  <c r="I70" i="65"/>
  <c r="I71" i="65"/>
  <c r="I72" i="65"/>
  <c r="I69" i="65"/>
  <c r="I73" i="65"/>
  <c r="I51" i="65"/>
  <c r="I52" i="65"/>
  <c r="I53" i="65"/>
  <c r="I54" i="65"/>
  <c r="I55" i="65"/>
  <c r="I56" i="65"/>
  <c r="I57" i="65"/>
  <c r="I58" i="65"/>
  <c r="I59" i="65"/>
  <c r="I44" i="65"/>
  <c r="I45" i="65"/>
  <c r="I46" i="65"/>
  <c r="I47" i="65"/>
  <c r="I48" i="65"/>
  <c r="I49" i="65"/>
  <c r="I77" i="65"/>
  <c r="J39" i="65"/>
  <c r="J33" i="65"/>
  <c r="J28" i="65"/>
  <c r="J14" i="65"/>
  <c r="J16" i="65"/>
  <c r="J17" i="65"/>
  <c r="J21" i="65"/>
  <c r="J23" i="65"/>
  <c r="J24" i="65"/>
  <c r="J38" i="65"/>
  <c r="J32" i="65"/>
  <c r="J27" i="65"/>
  <c r="J29" i="65"/>
  <c r="J35" i="65"/>
  <c r="J63" i="65"/>
  <c r="J61" i="65"/>
  <c r="J66" i="65"/>
  <c r="J67" i="65"/>
  <c r="J68" i="65"/>
  <c r="J69" i="65"/>
  <c r="J70" i="65"/>
  <c r="J71" i="65"/>
  <c r="J72" i="65"/>
  <c r="J73" i="65"/>
  <c r="J51" i="65"/>
  <c r="J52" i="65"/>
  <c r="J53" i="65"/>
  <c r="J54" i="65"/>
  <c r="J55" i="65"/>
  <c r="J56" i="65"/>
  <c r="J57" i="65"/>
  <c r="J58" i="65"/>
  <c r="J59" i="65"/>
  <c r="J44" i="65"/>
  <c r="J45" i="65"/>
  <c r="J46" i="65"/>
  <c r="J47" i="65"/>
  <c r="J48" i="65"/>
  <c r="J49" i="65"/>
  <c r="J77" i="65"/>
  <c r="K39" i="65"/>
  <c r="K33" i="65"/>
  <c r="K28" i="65"/>
  <c r="K38" i="65"/>
  <c r="K32" i="65"/>
  <c r="K27" i="65"/>
  <c r="K14" i="65"/>
  <c r="K16" i="65"/>
  <c r="K17" i="65"/>
  <c r="K21" i="65"/>
  <c r="K23" i="65"/>
  <c r="K24" i="65"/>
  <c r="K29" i="65"/>
  <c r="K35" i="65"/>
  <c r="K63" i="65"/>
  <c r="K61" i="65"/>
  <c r="K66" i="65"/>
  <c r="K67" i="65"/>
  <c r="K68" i="65"/>
  <c r="K69" i="65"/>
  <c r="K70" i="65"/>
  <c r="K71" i="65"/>
  <c r="K72" i="65"/>
  <c r="K73" i="65"/>
  <c r="K51" i="65"/>
  <c r="K52" i="65"/>
  <c r="K53" i="65"/>
  <c r="K54" i="65"/>
  <c r="K55" i="65"/>
  <c r="K56" i="65"/>
  <c r="K57" i="65"/>
  <c r="K58" i="65"/>
  <c r="K59" i="65"/>
  <c r="K44" i="65"/>
  <c r="K45" i="65"/>
  <c r="K46" i="65"/>
  <c r="K47" i="65"/>
  <c r="K48" i="65"/>
  <c r="K49" i="65"/>
  <c r="K77" i="65"/>
  <c r="C10" i="14"/>
  <c r="C14" i="14"/>
  <c r="C16" i="14"/>
  <c r="C18" i="14"/>
  <c r="C21" i="14"/>
  <c r="C27" i="14"/>
  <c r="C48" i="14"/>
  <c r="C39" i="14"/>
  <c r="C61" i="14"/>
  <c r="C64" i="14"/>
  <c r="C77" i="65"/>
  <c r="C13" i="65"/>
  <c r="D13" i="65"/>
  <c r="E13" i="65"/>
  <c r="G137" i="65"/>
  <c r="G133" i="65"/>
  <c r="G134" i="65"/>
  <c r="G135" i="65"/>
  <c r="G136" i="65"/>
  <c r="G138" i="65"/>
  <c r="G87" i="65"/>
  <c r="G88" i="65"/>
  <c r="G89" i="65"/>
  <c r="G90" i="65"/>
  <c r="G91" i="65"/>
  <c r="G92" i="65"/>
  <c r="G93" i="65"/>
  <c r="G94" i="65"/>
  <c r="G95" i="65"/>
  <c r="U66" i="57"/>
  <c r="U66" i="14"/>
  <c r="V66" i="57"/>
  <c r="V66" i="14"/>
  <c r="W66" i="57"/>
  <c r="W66" i="14"/>
  <c r="X66" i="57"/>
  <c r="X66" i="14"/>
  <c r="Y66" i="57"/>
  <c r="Y66" i="14"/>
  <c r="Z66" i="57"/>
  <c r="Z66" i="14"/>
  <c r="AA66" i="57"/>
  <c r="AA66" i="14"/>
  <c r="AB66" i="57"/>
  <c r="AB66" i="14"/>
  <c r="AC66" i="57"/>
  <c r="AC66" i="14"/>
  <c r="AD66" i="57"/>
  <c r="AD66" i="14"/>
  <c r="AE66" i="57"/>
  <c r="AE66" i="14"/>
  <c r="AF66" i="57"/>
  <c r="AF66" i="14"/>
  <c r="AG66" i="14"/>
  <c r="G79" i="65"/>
  <c r="G96" i="65"/>
  <c r="G97" i="65"/>
  <c r="G48" i="14"/>
  <c r="G10" i="14"/>
  <c r="G14" i="14"/>
  <c r="G18" i="14"/>
  <c r="G21" i="14"/>
  <c r="G27" i="14"/>
  <c r="G39" i="14"/>
  <c r="G61" i="14"/>
  <c r="G64" i="14"/>
  <c r="G68" i="14"/>
  <c r="E68" i="14"/>
  <c r="E69" i="14"/>
  <c r="E76" i="14"/>
  <c r="G76" i="14"/>
  <c r="G69" i="14"/>
  <c r="H48" i="14"/>
  <c r="H10" i="14"/>
  <c r="H14" i="14"/>
  <c r="H18" i="14"/>
  <c r="H21" i="14"/>
  <c r="H27" i="14"/>
  <c r="H39" i="14"/>
  <c r="H61" i="14"/>
  <c r="H64" i="14"/>
  <c r="H68" i="14"/>
  <c r="H76" i="14"/>
  <c r="H69" i="14"/>
  <c r="I48" i="14"/>
  <c r="I10" i="14"/>
  <c r="I14" i="14"/>
  <c r="I18" i="14"/>
  <c r="I21" i="14"/>
  <c r="I27" i="14"/>
  <c r="I39" i="14"/>
  <c r="I61" i="14"/>
  <c r="I64" i="14"/>
  <c r="I68" i="14"/>
  <c r="I76" i="14"/>
  <c r="I69" i="14"/>
  <c r="J48" i="14"/>
  <c r="J10" i="14"/>
  <c r="J14" i="14"/>
  <c r="J18" i="14"/>
  <c r="J21" i="14"/>
  <c r="J27" i="14"/>
  <c r="J39" i="14"/>
  <c r="J61" i="14"/>
  <c r="J64" i="14"/>
  <c r="J68" i="14"/>
  <c r="J76" i="14"/>
  <c r="J69" i="14"/>
  <c r="K48" i="14"/>
  <c r="K10" i="14"/>
  <c r="K14" i="14"/>
  <c r="K18" i="14"/>
  <c r="K21" i="14"/>
  <c r="K27" i="14"/>
  <c r="K39" i="14"/>
  <c r="K61" i="14"/>
  <c r="K64" i="14"/>
  <c r="K68" i="14"/>
  <c r="K76" i="14"/>
  <c r="K69" i="14"/>
  <c r="L48" i="14"/>
  <c r="L10" i="14"/>
  <c r="L14" i="14"/>
  <c r="L18" i="14"/>
  <c r="L21" i="14"/>
  <c r="L27" i="14"/>
  <c r="L39" i="14"/>
  <c r="L61" i="14"/>
  <c r="L64" i="14"/>
  <c r="L68" i="14"/>
  <c r="L76" i="14"/>
  <c r="L69" i="14"/>
  <c r="M48" i="14"/>
  <c r="M10" i="14"/>
  <c r="M14" i="14"/>
  <c r="M18" i="14"/>
  <c r="M21" i="14"/>
  <c r="M27" i="14"/>
  <c r="M39" i="14"/>
  <c r="M61" i="14"/>
  <c r="M64" i="14"/>
  <c r="M68" i="14"/>
  <c r="M76" i="14"/>
  <c r="M69" i="14"/>
  <c r="N48" i="14"/>
  <c r="N10" i="14"/>
  <c r="N14" i="14"/>
  <c r="N18" i="14"/>
  <c r="N21" i="14"/>
  <c r="N27" i="14"/>
  <c r="N39" i="14"/>
  <c r="N61" i="14"/>
  <c r="N64" i="14"/>
  <c r="N68" i="14"/>
  <c r="N76" i="14"/>
  <c r="N69" i="14"/>
  <c r="O48" i="14"/>
  <c r="O10" i="14"/>
  <c r="O14" i="14"/>
  <c r="O18" i="14"/>
  <c r="O21" i="14"/>
  <c r="O27" i="14"/>
  <c r="O39" i="14"/>
  <c r="O61" i="14"/>
  <c r="O64" i="14"/>
  <c r="O68" i="14"/>
  <c r="O76" i="14"/>
  <c r="O69" i="14"/>
  <c r="P48" i="14"/>
  <c r="P10" i="14"/>
  <c r="P14" i="14"/>
  <c r="P18" i="14"/>
  <c r="P21" i="14"/>
  <c r="P27" i="14"/>
  <c r="P39" i="14"/>
  <c r="P61" i="14"/>
  <c r="P64" i="14"/>
  <c r="P68" i="14"/>
  <c r="P76" i="14"/>
  <c r="P69" i="14"/>
  <c r="Q48" i="14"/>
  <c r="Q10" i="14"/>
  <c r="Q14" i="14"/>
  <c r="Q18" i="14"/>
  <c r="Q21" i="14"/>
  <c r="Q27" i="14"/>
  <c r="Q39" i="14"/>
  <c r="Q61" i="14"/>
  <c r="Q64" i="14"/>
  <c r="Q68" i="14"/>
  <c r="Q76" i="14"/>
  <c r="Q69" i="14"/>
  <c r="R48" i="14"/>
  <c r="R10" i="14"/>
  <c r="R14" i="14"/>
  <c r="R18" i="14"/>
  <c r="R21" i="14"/>
  <c r="R27" i="14"/>
  <c r="R39" i="14"/>
  <c r="R61" i="14"/>
  <c r="R64" i="14"/>
  <c r="R68" i="14"/>
  <c r="R76" i="14"/>
  <c r="R69" i="14"/>
  <c r="S69" i="14"/>
  <c r="F82" i="65"/>
  <c r="G98" i="65"/>
  <c r="G99" i="65"/>
  <c r="Z5" i="41"/>
  <c r="AG5" i="41"/>
  <c r="Z6" i="41"/>
  <c r="AG6" i="41"/>
  <c r="AC7" i="41"/>
  <c r="AG7" i="41"/>
  <c r="W8" i="41"/>
  <c r="AG8" i="41"/>
  <c r="AG9" i="41"/>
  <c r="G100" i="65"/>
  <c r="G105" i="65"/>
  <c r="U67" i="57"/>
  <c r="U67" i="14"/>
  <c r="V67" i="57"/>
  <c r="V67" i="14"/>
  <c r="W67" i="57"/>
  <c r="W67" i="14"/>
  <c r="X67" i="57"/>
  <c r="X67" i="14"/>
  <c r="Y67" i="57"/>
  <c r="Y67" i="14"/>
  <c r="Z67" i="57"/>
  <c r="Z67" i="14"/>
  <c r="AA67" i="57"/>
  <c r="AA67" i="14"/>
  <c r="AB67" i="57"/>
  <c r="AB67" i="14"/>
  <c r="AC67" i="57"/>
  <c r="AC67" i="14"/>
  <c r="AD67" i="57"/>
  <c r="AD67" i="14"/>
  <c r="AE67" i="57"/>
  <c r="AE67" i="14"/>
  <c r="AF67" i="57"/>
  <c r="AF67" i="14"/>
  <c r="AG67" i="14"/>
  <c r="G80" i="65"/>
  <c r="G114" i="65"/>
  <c r="G115" i="65"/>
  <c r="G116" i="65"/>
  <c r="F141" i="65"/>
  <c r="F118" i="65"/>
  <c r="G117" i="65"/>
  <c r="G118" i="65"/>
  <c r="G140" i="65"/>
  <c r="G141" i="65"/>
  <c r="G143" i="65"/>
  <c r="G142" i="65"/>
  <c r="G144" i="65"/>
  <c r="G145" i="65"/>
  <c r="G146" i="65"/>
  <c r="G148" i="65"/>
  <c r="G149" i="65"/>
  <c r="G150" i="65"/>
  <c r="G151" i="65"/>
  <c r="G152" i="65"/>
  <c r="G153" i="65"/>
  <c r="U48" i="14"/>
  <c r="U39" i="14"/>
  <c r="U61" i="14"/>
  <c r="U10" i="14"/>
  <c r="U14" i="14"/>
  <c r="U18" i="14"/>
  <c r="U21" i="14"/>
  <c r="U27" i="14"/>
  <c r="U64" i="14"/>
  <c r="U68" i="14"/>
  <c r="U76" i="14"/>
  <c r="U69" i="14"/>
  <c r="V48" i="14"/>
  <c r="V39" i="14"/>
  <c r="V61" i="14"/>
  <c r="V10" i="14"/>
  <c r="V14" i="14"/>
  <c r="V18" i="14"/>
  <c r="V21" i="14"/>
  <c r="V27" i="14"/>
  <c r="V64" i="14"/>
  <c r="V68" i="14"/>
  <c r="V76" i="14"/>
  <c r="V69" i="14"/>
  <c r="W48" i="14"/>
  <c r="W39" i="14"/>
  <c r="W61" i="14"/>
  <c r="W10" i="14"/>
  <c r="W14" i="14"/>
  <c r="W18" i="14"/>
  <c r="W21" i="14"/>
  <c r="W27" i="14"/>
  <c r="W64" i="14"/>
  <c r="W68" i="14"/>
  <c r="W76" i="14"/>
  <c r="W69" i="14"/>
  <c r="X48" i="14"/>
  <c r="X39" i="14"/>
  <c r="X61" i="14"/>
  <c r="X10" i="14"/>
  <c r="X14" i="14"/>
  <c r="X18" i="14"/>
  <c r="X21" i="14"/>
  <c r="X27" i="14"/>
  <c r="X64" i="14"/>
  <c r="X68" i="14"/>
  <c r="X76" i="14"/>
  <c r="X69" i="14"/>
  <c r="Y48" i="14"/>
  <c r="Y39" i="14"/>
  <c r="Y61" i="14"/>
  <c r="Y10" i="14"/>
  <c r="Y14" i="14"/>
  <c r="Y18" i="14"/>
  <c r="Y21" i="14"/>
  <c r="Y27" i="14"/>
  <c r="Y64" i="14"/>
  <c r="Y68" i="14"/>
  <c r="Y76" i="14"/>
  <c r="Y69" i="14"/>
  <c r="Z48" i="14"/>
  <c r="Z39" i="14"/>
  <c r="Z61" i="14"/>
  <c r="Z10" i="14"/>
  <c r="Z14" i="14"/>
  <c r="Z18" i="14"/>
  <c r="Z21" i="14"/>
  <c r="Z27" i="14"/>
  <c r="Z64" i="14"/>
  <c r="Z68" i="14"/>
  <c r="Z76" i="14"/>
  <c r="Z69" i="14"/>
  <c r="AA48" i="14"/>
  <c r="AA39" i="14"/>
  <c r="AA61" i="14"/>
  <c r="AA10" i="14"/>
  <c r="AA14" i="14"/>
  <c r="AA18" i="14"/>
  <c r="AA21" i="14"/>
  <c r="AA27" i="14"/>
  <c r="AA64" i="14"/>
  <c r="AA68" i="14"/>
  <c r="AA76" i="14"/>
  <c r="AA69" i="14"/>
  <c r="AB48" i="14"/>
  <c r="AB39" i="14"/>
  <c r="AB61" i="14"/>
  <c r="AB10" i="14"/>
  <c r="AB14" i="14"/>
  <c r="AB18" i="14"/>
  <c r="AB21" i="14"/>
  <c r="AB27" i="14"/>
  <c r="AB64" i="14"/>
  <c r="AB68" i="14"/>
  <c r="AB76" i="14"/>
  <c r="AB69" i="14"/>
  <c r="AC48" i="14"/>
  <c r="AC39" i="14"/>
  <c r="AC61" i="14"/>
  <c r="AC10" i="14"/>
  <c r="AC14" i="14"/>
  <c r="AC18" i="14"/>
  <c r="AC21" i="14"/>
  <c r="AC27" i="14"/>
  <c r="AC64" i="14"/>
  <c r="AC68" i="14"/>
  <c r="AC76" i="14"/>
  <c r="AC69" i="14"/>
  <c r="AD48" i="14"/>
  <c r="AD39" i="14"/>
  <c r="AD61" i="14"/>
  <c r="AD10" i="14"/>
  <c r="AD14" i="14"/>
  <c r="AD18" i="14"/>
  <c r="AD21" i="14"/>
  <c r="AD27" i="14"/>
  <c r="AD64" i="14"/>
  <c r="AD68" i="14"/>
  <c r="AD76" i="14"/>
  <c r="AD69" i="14"/>
  <c r="AE48" i="14"/>
  <c r="AE39" i="14"/>
  <c r="AE61" i="14"/>
  <c r="AE10" i="14"/>
  <c r="AE14" i="14"/>
  <c r="AE18" i="14"/>
  <c r="AE21" i="14"/>
  <c r="AE27" i="14"/>
  <c r="AE64" i="14"/>
  <c r="AE68" i="14"/>
  <c r="AE76" i="14"/>
  <c r="AE69" i="14"/>
  <c r="AF48" i="14"/>
  <c r="AF39" i="14"/>
  <c r="AF61" i="14"/>
  <c r="AF10" i="14"/>
  <c r="AF14" i="14"/>
  <c r="AF18" i="14"/>
  <c r="AF21" i="14"/>
  <c r="AF27" i="14"/>
  <c r="AF64" i="14"/>
  <c r="AF68" i="14"/>
  <c r="AF76" i="14"/>
  <c r="AF69" i="14"/>
  <c r="AG69" i="14"/>
  <c r="G82" i="65"/>
  <c r="G160" i="65"/>
  <c r="G156" i="65"/>
  <c r="G157" i="65"/>
  <c r="G158" i="65"/>
  <c r="G159" i="65"/>
  <c r="G161" i="65"/>
  <c r="G162" i="65"/>
  <c r="G163" i="65"/>
  <c r="G164" i="65"/>
  <c r="H79" i="65"/>
  <c r="H81" i="65"/>
  <c r="H82" i="65"/>
  <c r="H160" i="65"/>
  <c r="H156" i="65"/>
  <c r="H157" i="65"/>
  <c r="H158" i="65"/>
  <c r="H159" i="65"/>
  <c r="H161" i="65"/>
  <c r="H162" i="65"/>
  <c r="H163" i="65"/>
  <c r="H164" i="65"/>
  <c r="H104" i="65"/>
  <c r="AH9" i="41"/>
  <c r="H100" i="65"/>
  <c r="H105" i="65"/>
  <c r="H87" i="65"/>
  <c r="H91" i="65"/>
  <c r="H95" i="65"/>
  <c r="H88" i="65"/>
  <c r="H89" i="65"/>
  <c r="H90" i="65"/>
  <c r="H93" i="65"/>
  <c r="H94" i="65"/>
  <c r="H97" i="65"/>
  <c r="H92" i="65"/>
  <c r="H96" i="65"/>
  <c r="H98" i="65"/>
  <c r="H99" i="65"/>
  <c r="H115" i="65"/>
  <c r="H116" i="65"/>
  <c r="H117" i="65"/>
  <c r="H118" i="65"/>
  <c r="H140" i="65"/>
  <c r="H141" i="65"/>
  <c r="H137" i="65"/>
  <c r="H133" i="65"/>
  <c r="H134" i="65"/>
  <c r="H135" i="65"/>
  <c r="H136" i="65"/>
  <c r="H138" i="65"/>
  <c r="H143" i="65"/>
  <c r="H142" i="65"/>
  <c r="H144" i="65"/>
  <c r="H145" i="65"/>
  <c r="H146" i="65"/>
  <c r="H147" i="65"/>
  <c r="H148" i="65"/>
  <c r="H149" i="65"/>
  <c r="H150" i="65"/>
  <c r="H151" i="65"/>
  <c r="H152" i="65"/>
  <c r="H153" i="65"/>
  <c r="I98" i="65"/>
  <c r="I87" i="65"/>
  <c r="I91" i="65"/>
  <c r="I95" i="65"/>
  <c r="I88" i="65"/>
  <c r="I89" i="65"/>
  <c r="I90" i="65"/>
  <c r="I93" i="65"/>
  <c r="I94" i="65"/>
  <c r="I97" i="65"/>
  <c r="I92" i="65"/>
  <c r="I79" i="65"/>
  <c r="I96" i="65"/>
  <c r="I99" i="65"/>
  <c r="AI9" i="41"/>
  <c r="I100" i="65"/>
  <c r="I105" i="65"/>
  <c r="I114" i="65"/>
  <c r="I115" i="65"/>
  <c r="I116" i="65"/>
  <c r="I117" i="65"/>
  <c r="I118" i="65"/>
  <c r="I140" i="65"/>
  <c r="I141" i="65"/>
  <c r="I137" i="65"/>
  <c r="I133" i="65"/>
  <c r="I134" i="65"/>
  <c r="I135" i="65"/>
  <c r="I136" i="65"/>
  <c r="I138" i="65"/>
  <c r="I143" i="65"/>
  <c r="I142" i="65"/>
  <c r="I144" i="65"/>
  <c r="I145" i="65"/>
  <c r="I146" i="65"/>
  <c r="I147" i="65"/>
  <c r="I148" i="65"/>
  <c r="I149" i="65"/>
  <c r="I150" i="65"/>
  <c r="I151" i="65"/>
  <c r="I152" i="65"/>
  <c r="I153" i="65"/>
  <c r="I81" i="65"/>
  <c r="I82" i="65"/>
  <c r="I160" i="65"/>
  <c r="I156" i="65"/>
  <c r="I157" i="65"/>
  <c r="I158" i="65"/>
  <c r="I159" i="65"/>
  <c r="I161" i="65"/>
  <c r="I162" i="65"/>
  <c r="I163" i="65"/>
  <c r="I164" i="65"/>
  <c r="J117" i="65"/>
  <c r="J98" i="65"/>
  <c r="J87" i="65"/>
  <c r="J91" i="65"/>
  <c r="J95" i="65"/>
  <c r="J88" i="65"/>
  <c r="J89" i="65"/>
  <c r="J90" i="65"/>
  <c r="J93" i="65"/>
  <c r="J94" i="65"/>
  <c r="J97" i="65"/>
  <c r="J92" i="65"/>
  <c r="J79" i="65"/>
  <c r="J96" i="65"/>
  <c r="J99" i="65"/>
  <c r="AJ9" i="41"/>
  <c r="J100" i="65"/>
  <c r="J105" i="65"/>
  <c r="J114" i="65"/>
  <c r="J115" i="65"/>
  <c r="J116" i="65"/>
  <c r="J118" i="65"/>
  <c r="J140" i="65"/>
  <c r="J141" i="65"/>
  <c r="J137" i="65"/>
  <c r="J133" i="65"/>
  <c r="J134" i="65"/>
  <c r="J135" i="65"/>
  <c r="J136" i="65"/>
  <c r="J138" i="65"/>
  <c r="J143" i="65"/>
  <c r="J142" i="65"/>
  <c r="J144" i="65"/>
  <c r="J145" i="65"/>
  <c r="J146" i="65"/>
  <c r="J147" i="65"/>
  <c r="J148" i="65"/>
  <c r="J149" i="65"/>
  <c r="J150" i="65"/>
  <c r="J151" i="65"/>
  <c r="J152" i="65"/>
  <c r="J153" i="65"/>
  <c r="J81" i="65"/>
  <c r="J82" i="65"/>
  <c r="J160" i="65"/>
  <c r="J156" i="65"/>
  <c r="J157" i="65"/>
  <c r="J158" i="65"/>
  <c r="J159" i="65"/>
  <c r="J161" i="65"/>
  <c r="J162" i="65"/>
  <c r="J163" i="65"/>
  <c r="J164" i="65"/>
  <c r="K117" i="65"/>
  <c r="K98" i="65"/>
  <c r="K87" i="65"/>
  <c r="K91" i="65"/>
  <c r="K95" i="65"/>
  <c r="K90" i="65"/>
  <c r="K88" i="65"/>
  <c r="K89" i="65"/>
  <c r="K93" i="65"/>
  <c r="K94" i="65"/>
  <c r="K97" i="65"/>
  <c r="K92" i="65"/>
  <c r="K79" i="65"/>
  <c r="K96" i="65"/>
  <c r="K99" i="65"/>
  <c r="AK9" i="41"/>
  <c r="K100" i="65"/>
  <c r="K105" i="65"/>
  <c r="K114" i="65"/>
  <c r="K115" i="65"/>
  <c r="K116" i="65"/>
  <c r="K118" i="65"/>
  <c r="K140" i="65"/>
  <c r="K141" i="65"/>
  <c r="K137" i="65"/>
  <c r="K133" i="65"/>
  <c r="K134" i="65"/>
  <c r="K135" i="65"/>
  <c r="K136" i="65"/>
  <c r="K138" i="65"/>
  <c r="K143" i="65"/>
  <c r="K142" i="65"/>
  <c r="K144" i="65"/>
  <c r="K145" i="65"/>
  <c r="K146" i="65"/>
  <c r="K147" i="65"/>
  <c r="K148" i="65"/>
  <c r="K149" i="65"/>
  <c r="K150" i="65"/>
  <c r="K151" i="65"/>
  <c r="K152" i="65"/>
  <c r="K153" i="65"/>
  <c r="K81" i="65"/>
  <c r="K82" i="65"/>
  <c r="K160" i="65"/>
  <c r="K156" i="65"/>
  <c r="K157" i="65"/>
  <c r="K158" i="65"/>
  <c r="K159" i="65"/>
  <c r="K161" i="65"/>
  <c r="K162" i="65"/>
  <c r="K163" i="65"/>
  <c r="K164" i="65"/>
  <c r="C68" i="14"/>
  <c r="C69" i="14"/>
  <c r="C70" i="14"/>
  <c r="C83" i="65"/>
  <c r="C171" i="65"/>
  <c r="D169" i="65"/>
  <c r="D68" i="14"/>
  <c r="D69" i="14"/>
  <c r="D70" i="14"/>
  <c r="D83" i="65"/>
  <c r="D171" i="65"/>
  <c r="D172" i="65"/>
  <c r="D164" i="65"/>
  <c r="D166" i="65"/>
  <c r="D173" i="65"/>
  <c r="E169" i="65"/>
  <c r="E70" i="14"/>
  <c r="E83" i="65"/>
  <c r="E171" i="65"/>
  <c r="E172" i="65"/>
  <c r="E164" i="65"/>
  <c r="E166" i="65"/>
  <c r="E173" i="65"/>
  <c r="F169" i="65"/>
  <c r="S66" i="14"/>
  <c r="F79" i="65"/>
  <c r="S67" i="14"/>
  <c r="F80" i="65"/>
  <c r="F81" i="65"/>
  <c r="F83" i="65"/>
  <c r="F171" i="65"/>
  <c r="F172" i="65"/>
  <c r="F164" i="65"/>
  <c r="F166" i="65"/>
  <c r="F173" i="65"/>
  <c r="G165" i="65"/>
  <c r="G166" i="65"/>
  <c r="G169" i="65"/>
  <c r="G81" i="65"/>
  <c r="G83" i="65"/>
  <c r="G171" i="65"/>
  <c r="G167" i="65"/>
  <c r="G168" i="65"/>
  <c r="G170" i="65"/>
  <c r="G172" i="65"/>
  <c r="G173" i="65"/>
  <c r="H165" i="65"/>
  <c r="H166" i="65"/>
  <c r="H83" i="65"/>
  <c r="H171" i="65"/>
  <c r="H169" i="65"/>
  <c r="H167" i="65"/>
  <c r="H168" i="65"/>
  <c r="H170" i="65"/>
  <c r="H172" i="65"/>
  <c r="H173" i="65"/>
  <c r="I165" i="65"/>
  <c r="I166" i="65"/>
  <c r="I169" i="65"/>
  <c r="I83" i="65"/>
  <c r="I171" i="65"/>
  <c r="I167" i="65"/>
  <c r="I168" i="65"/>
  <c r="I170" i="65"/>
  <c r="I172" i="65"/>
  <c r="I173" i="65"/>
  <c r="J165" i="65"/>
  <c r="J166" i="65"/>
  <c r="J169" i="65"/>
  <c r="J83" i="65"/>
  <c r="J171" i="65"/>
  <c r="J167" i="65"/>
  <c r="J168" i="65"/>
  <c r="J170" i="65"/>
  <c r="J172" i="65"/>
  <c r="J173" i="65"/>
  <c r="K165" i="65"/>
  <c r="K166" i="65"/>
  <c r="K169" i="65"/>
  <c r="K83" i="65"/>
  <c r="K171" i="65"/>
  <c r="K167" i="65"/>
  <c r="K168" i="65"/>
  <c r="K170" i="65"/>
  <c r="K172" i="65"/>
  <c r="K173" i="65"/>
  <c r="D14" i="65"/>
  <c r="D21" i="65"/>
  <c r="D27" i="65"/>
  <c r="D28" i="65"/>
  <c r="E14" i="65"/>
  <c r="E21" i="65"/>
  <c r="E27" i="65"/>
  <c r="E28" i="65"/>
  <c r="D71" i="14"/>
  <c r="D84" i="65"/>
  <c r="E71" i="14"/>
  <c r="E84" i="65"/>
  <c r="F84" i="65"/>
  <c r="G84" i="65"/>
  <c r="H84" i="65"/>
  <c r="I84" i="65"/>
  <c r="J84" i="65"/>
  <c r="K84" i="65"/>
  <c r="G129" i="65"/>
  <c r="G130" i="65"/>
  <c r="G128" i="65"/>
  <c r="G131" i="65"/>
  <c r="G125" i="65"/>
  <c r="G121" i="65"/>
  <c r="G122" i="65"/>
  <c r="G123" i="65"/>
  <c r="G124" i="65"/>
  <c r="G126" i="65"/>
  <c r="G127" i="65"/>
  <c r="G132" i="65"/>
  <c r="G154" i="65"/>
  <c r="H130" i="65"/>
  <c r="H129" i="65"/>
  <c r="H128" i="65"/>
  <c r="H131" i="65"/>
  <c r="H125" i="65"/>
  <c r="H121" i="65"/>
  <c r="H122" i="65"/>
  <c r="H123" i="65"/>
  <c r="H124" i="65"/>
  <c r="H126" i="65"/>
  <c r="H127" i="65"/>
  <c r="H132" i="65"/>
  <c r="H154" i="65"/>
  <c r="I130" i="65"/>
  <c r="I129" i="65"/>
  <c r="I128" i="65"/>
  <c r="I131" i="65"/>
  <c r="I125" i="65"/>
  <c r="I121" i="65"/>
  <c r="I122" i="65"/>
  <c r="I123" i="65"/>
  <c r="I124" i="65"/>
  <c r="I126" i="65"/>
  <c r="I127" i="65"/>
  <c r="I132" i="65"/>
  <c r="I154" i="65"/>
  <c r="J130" i="65"/>
  <c r="J129" i="65"/>
  <c r="J128" i="65"/>
  <c r="J131" i="65"/>
  <c r="J125" i="65"/>
  <c r="J121" i="65"/>
  <c r="J122" i="65"/>
  <c r="J123" i="65"/>
  <c r="J124" i="65"/>
  <c r="J126" i="65"/>
  <c r="J127" i="65"/>
  <c r="J132" i="65"/>
  <c r="J154" i="65"/>
  <c r="K130" i="65"/>
  <c r="K129" i="65"/>
  <c r="K128" i="65"/>
  <c r="K131" i="65"/>
  <c r="K125" i="65"/>
  <c r="K121" i="65"/>
  <c r="K122" i="65"/>
  <c r="K123" i="65"/>
  <c r="K124" i="65"/>
  <c r="K126" i="65"/>
  <c r="K127" i="65"/>
  <c r="K132" i="65"/>
  <c r="K154" i="65"/>
  <c r="C71" i="14"/>
  <c r="C84" i="65"/>
  <c r="C14" i="65"/>
  <c r="C21" i="65"/>
  <c r="C27" i="65"/>
  <c r="C28" i="65"/>
  <c r="C172" i="65"/>
  <c r="C164" i="65"/>
  <c r="C166" i="65"/>
  <c r="C173" i="65"/>
  <c r="C149" i="65"/>
  <c r="C138" i="65"/>
  <c r="C141" i="65"/>
  <c r="C152" i="65"/>
  <c r="C153" i="65"/>
  <c r="D149" i="65"/>
  <c r="D138" i="65"/>
  <c r="D141" i="65"/>
  <c r="D152" i="65"/>
  <c r="D153" i="65"/>
  <c r="D131" i="65"/>
  <c r="D127" i="65"/>
  <c r="D132" i="65"/>
  <c r="D154" i="65"/>
  <c r="E149" i="65"/>
  <c r="E138" i="65"/>
  <c r="E141" i="65"/>
  <c r="E152" i="65"/>
  <c r="E153" i="65"/>
  <c r="E131" i="65"/>
  <c r="E127" i="65"/>
  <c r="E132" i="65"/>
  <c r="E154" i="65"/>
  <c r="F149" i="65"/>
  <c r="F138" i="65"/>
  <c r="F152" i="65"/>
  <c r="F153" i="65"/>
  <c r="F131" i="65"/>
  <c r="F127" i="65"/>
  <c r="F132" i="65"/>
  <c r="F154" i="65"/>
  <c r="C131" i="65"/>
  <c r="C127" i="65"/>
  <c r="C132" i="65"/>
  <c r="C154" i="65"/>
  <c r="C73" i="65"/>
  <c r="C74" i="65"/>
  <c r="D73" i="65"/>
  <c r="E73" i="65"/>
  <c r="C59" i="65"/>
  <c r="D59" i="65"/>
  <c r="E59" i="65"/>
  <c r="C49" i="65"/>
  <c r="D49" i="65"/>
  <c r="E49" i="65"/>
  <c r="C29" i="65"/>
  <c r="D29" i="65"/>
  <c r="E29" i="65"/>
  <c r="C22" i="65"/>
  <c r="C6" i="65"/>
  <c r="D22" i="65"/>
  <c r="D6" i="65"/>
  <c r="E22" i="65"/>
  <c r="E6" i="65"/>
  <c r="C5" i="65"/>
  <c r="D5" i="65"/>
  <c r="E5" i="65"/>
  <c r="C15" i="65"/>
  <c r="D15" i="65"/>
  <c r="E15" i="65"/>
  <c r="AE73" i="14"/>
  <c r="AD73" i="14"/>
  <c r="AC73" i="14"/>
  <c r="AB73" i="14"/>
  <c r="AA73" i="14"/>
  <c r="Z73" i="14"/>
  <c r="Y73" i="14"/>
  <c r="X73" i="14"/>
  <c r="W73" i="14"/>
  <c r="V73" i="14"/>
  <c r="U73" i="14"/>
  <c r="AF73" i="14"/>
  <c r="E73" i="14"/>
  <c r="D73" i="14"/>
  <c r="C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Q12" i="78"/>
  <c r="Q11" i="78"/>
  <c r="Q10" i="78"/>
  <c r="Q9" i="78"/>
  <c r="Q8" i="78"/>
  <c r="Q7" i="78"/>
  <c r="Q6" i="78"/>
  <c r="Q4" i="78"/>
  <c r="EQ23" i="25"/>
  <c r="DQ23" i="25"/>
  <c r="DR23" i="25"/>
  <c r="DS23" i="25"/>
  <c r="DT23" i="25"/>
  <c r="DU23" i="25"/>
  <c r="DV23" i="25"/>
  <c r="DW23" i="25"/>
  <c r="DX23" i="25"/>
  <c r="DY23" i="25"/>
  <c r="DZ23" i="25"/>
  <c r="EA23" i="25"/>
  <c r="EB23" i="25"/>
  <c r="EC23" i="25"/>
  <c r="DO23" i="25"/>
  <c r="DA23" i="25"/>
  <c r="CM23" i="25"/>
  <c r="BY23" i="25"/>
  <c r="BK23" i="25"/>
  <c r="AW23" i="25"/>
  <c r="AI23" i="25"/>
  <c r="Q23" i="25"/>
  <c r="R23" i="25"/>
  <c r="E23" i="25"/>
  <c r="D23" i="25"/>
  <c r="C23" i="25"/>
  <c r="B23" i="25"/>
  <c r="A23" i="25"/>
  <c r="EQ22" i="25"/>
  <c r="DQ22" i="25"/>
  <c r="DR22" i="25"/>
  <c r="DS22" i="25"/>
  <c r="DT22" i="25"/>
  <c r="DU22" i="25"/>
  <c r="DV22" i="25"/>
  <c r="DW22" i="25"/>
  <c r="DX22" i="25"/>
  <c r="DY22" i="25"/>
  <c r="DZ22" i="25"/>
  <c r="EA22" i="25"/>
  <c r="EB22" i="25"/>
  <c r="EC22" i="25"/>
  <c r="DO22" i="25"/>
  <c r="DA22" i="25"/>
  <c r="CM22" i="25"/>
  <c r="BY22" i="25"/>
  <c r="BK22" i="25"/>
  <c r="AW22" i="25"/>
  <c r="AI22" i="25"/>
  <c r="Q22" i="25"/>
  <c r="R22" i="25"/>
  <c r="E22" i="25"/>
  <c r="D22" i="25"/>
  <c r="C22" i="25"/>
  <c r="B22" i="25"/>
  <c r="A22" i="25"/>
  <c r="EQ21" i="25"/>
  <c r="DQ21" i="25"/>
  <c r="DR21" i="25"/>
  <c r="DS21" i="25"/>
  <c r="DT21" i="25"/>
  <c r="DU21" i="25"/>
  <c r="DV21" i="25"/>
  <c r="DW21" i="25"/>
  <c r="DX21" i="25"/>
  <c r="DY21" i="25"/>
  <c r="DZ21" i="25"/>
  <c r="EA21" i="25"/>
  <c r="EB21" i="25"/>
  <c r="EC21" i="25"/>
  <c r="DO21" i="25"/>
  <c r="DA21" i="25"/>
  <c r="CM21" i="25"/>
  <c r="BY21" i="25"/>
  <c r="BK21" i="25"/>
  <c r="AW21" i="25"/>
  <c r="AI21" i="25"/>
  <c r="Q21" i="25"/>
  <c r="R21" i="25"/>
  <c r="E21" i="25"/>
  <c r="D21" i="25"/>
  <c r="C21" i="25"/>
  <c r="B21" i="25"/>
  <c r="A21" i="25"/>
  <c r="EQ25" i="25"/>
  <c r="DQ25" i="25"/>
  <c r="DR25" i="25"/>
  <c r="DS25" i="25"/>
  <c r="DT25" i="25"/>
  <c r="DU25" i="25"/>
  <c r="DV25" i="25"/>
  <c r="DW25" i="25"/>
  <c r="DX25" i="25"/>
  <c r="DY25" i="25"/>
  <c r="DZ25" i="25"/>
  <c r="EA25" i="25"/>
  <c r="EB25" i="25"/>
  <c r="EC25" i="25"/>
  <c r="DO25" i="25"/>
  <c r="DA25" i="25"/>
  <c r="CM25" i="25"/>
  <c r="BY25" i="25"/>
  <c r="BK25" i="25"/>
  <c r="AW25" i="25"/>
  <c r="AI25" i="25"/>
  <c r="Q25" i="25"/>
  <c r="R25" i="25"/>
  <c r="E25" i="25"/>
  <c r="D25" i="25"/>
  <c r="C25" i="25"/>
  <c r="B25" i="25"/>
  <c r="A25" i="25"/>
  <c r="EQ24" i="25"/>
  <c r="DQ24" i="25"/>
  <c r="DR24" i="25"/>
  <c r="DS24" i="25"/>
  <c r="DT24" i="25"/>
  <c r="DU24" i="25"/>
  <c r="DV24" i="25"/>
  <c r="DW24" i="25"/>
  <c r="DX24" i="25"/>
  <c r="DY24" i="25"/>
  <c r="DZ24" i="25"/>
  <c r="EA24" i="25"/>
  <c r="EB24" i="25"/>
  <c r="EC24" i="25"/>
  <c r="DO24" i="25"/>
  <c r="DA24" i="25"/>
  <c r="CM24" i="25"/>
  <c r="BY24" i="25"/>
  <c r="BK24" i="25"/>
  <c r="AW24" i="25"/>
  <c r="AI24" i="25"/>
  <c r="Q24" i="25"/>
  <c r="R24" i="25"/>
  <c r="E24" i="25"/>
  <c r="D24" i="25"/>
  <c r="C24" i="25"/>
  <c r="B24" i="25"/>
  <c r="A24" i="25"/>
  <c r="EQ20" i="25"/>
  <c r="DQ20" i="25"/>
  <c r="DR20" i="25"/>
  <c r="DS20" i="25"/>
  <c r="DT20" i="25"/>
  <c r="DU20" i="25"/>
  <c r="DV20" i="25"/>
  <c r="DW20" i="25"/>
  <c r="DX20" i="25"/>
  <c r="DY20" i="25"/>
  <c r="DZ20" i="25"/>
  <c r="EA20" i="25"/>
  <c r="EB20" i="25"/>
  <c r="EC20" i="25"/>
  <c r="DO20" i="25"/>
  <c r="DA20" i="25"/>
  <c r="CM20" i="25"/>
  <c r="BY20" i="25"/>
  <c r="BK20" i="25"/>
  <c r="AW20" i="25"/>
  <c r="AI20" i="25"/>
  <c r="Q20" i="25"/>
  <c r="R20" i="25"/>
  <c r="E20" i="25"/>
  <c r="D20" i="25"/>
  <c r="C20" i="25"/>
  <c r="B20" i="25"/>
  <c r="A20" i="25"/>
  <c r="EQ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DO19" i="25"/>
  <c r="DA19" i="25"/>
  <c r="CM19" i="25"/>
  <c r="BY19" i="25"/>
  <c r="BK19" i="25"/>
  <c r="AW19" i="25"/>
  <c r="AI19" i="25"/>
  <c r="Q19" i="25"/>
  <c r="R19" i="25"/>
  <c r="E19" i="25"/>
  <c r="D19" i="25"/>
  <c r="C19" i="25"/>
  <c r="B19" i="25"/>
  <c r="A19" i="25"/>
  <c r="EQ18" i="25"/>
  <c r="DQ18" i="25"/>
  <c r="DR18" i="25"/>
  <c r="DS18" i="25"/>
  <c r="DT18" i="25"/>
  <c r="DU18" i="25"/>
  <c r="DV18" i="25"/>
  <c r="DW18" i="25"/>
  <c r="DX18" i="25"/>
  <c r="DY18" i="25"/>
  <c r="DZ18" i="25"/>
  <c r="EA18" i="25"/>
  <c r="EB18" i="25"/>
  <c r="EC18" i="25"/>
  <c r="DO18" i="25"/>
  <c r="DA18" i="25"/>
  <c r="CM18" i="25"/>
  <c r="BY18" i="25"/>
  <c r="BK18" i="25"/>
  <c r="AW18" i="25"/>
  <c r="AI18" i="25"/>
  <c r="Q18" i="25"/>
  <c r="R18" i="25"/>
  <c r="E18" i="25"/>
  <c r="D18" i="25"/>
  <c r="C18" i="25"/>
  <c r="B18" i="25"/>
  <c r="A18" i="25"/>
  <c r="AG5" i="52"/>
  <c r="ER47" i="25"/>
  <c r="EQ42" i="25"/>
  <c r="EQ43" i="25"/>
  <c r="EQ39" i="25"/>
  <c r="EQ47" i="25"/>
  <c r="ES47" i="25"/>
  <c r="G4" i="25"/>
  <c r="R74" i="14"/>
  <c r="Q74" i="14"/>
  <c r="P74" i="14"/>
  <c r="O74" i="14"/>
  <c r="N74" i="14"/>
  <c r="M74" i="14"/>
  <c r="L74" i="14"/>
  <c r="K74" i="14"/>
  <c r="J74" i="14"/>
  <c r="I74" i="14"/>
  <c r="H74" i="14"/>
  <c r="Q21" i="53"/>
  <c r="S5" i="51"/>
  <c r="S29" i="51"/>
  <c r="S30" i="51"/>
  <c r="EQ32" i="25"/>
  <c r="EQ33" i="25"/>
  <c r="EQ34" i="25"/>
  <c r="EQ35" i="25"/>
  <c r="EQ36" i="25"/>
  <c r="EQ37" i="25"/>
  <c r="EQ38" i="25"/>
  <c r="EQ40" i="25"/>
  <c r="EQ41" i="25"/>
  <c r="EQ46" i="25"/>
  <c r="EQ48" i="25"/>
  <c r="ER48" i="25"/>
  <c r="ES48" i="25"/>
  <c r="N10" i="25"/>
  <c r="EQ27" i="25"/>
  <c r="DQ27" i="25"/>
  <c r="DR27" i="25"/>
  <c r="DS27" i="25"/>
  <c r="DT27" i="25"/>
  <c r="DU27" i="25"/>
  <c r="DV27" i="25"/>
  <c r="DW27" i="25"/>
  <c r="DX27" i="25"/>
  <c r="DY27" i="25"/>
  <c r="DZ27" i="25"/>
  <c r="EA27" i="25"/>
  <c r="EB27" i="25"/>
  <c r="EC27" i="25"/>
  <c r="DO27" i="25"/>
  <c r="DA27" i="25"/>
  <c r="CM27" i="25"/>
  <c r="BY27" i="25"/>
  <c r="BK27" i="25"/>
  <c r="AW27" i="25"/>
  <c r="AI27" i="25"/>
  <c r="Q27" i="25"/>
  <c r="R27" i="25"/>
  <c r="E27" i="25"/>
  <c r="D27" i="25"/>
  <c r="C27" i="25"/>
  <c r="B27" i="25"/>
  <c r="A27" i="25"/>
  <c r="EQ14" i="25"/>
  <c r="DQ14" i="25"/>
  <c r="DR14" i="25"/>
  <c r="DS14" i="25"/>
  <c r="DT14" i="25"/>
  <c r="DU14" i="25"/>
  <c r="DV14" i="25"/>
  <c r="DW14" i="25"/>
  <c r="DX14" i="25"/>
  <c r="DY14" i="25"/>
  <c r="DZ14" i="25"/>
  <c r="EA14" i="25"/>
  <c r="EB14" i="25"/>
  <c r="EC14" i="25"/>
  <c r="DO14" i="25"/>
  <c r="DA14" i="25"/>
  <c r="CM14" i="25"/>
  <c r="BY14" i="25"/>
  <c r="BK14" i="25"/>
  <c r="AW14" i="25"/>
  <c r="AI14" i="25"/>
  <c r="Q14" i="25"/>
  <c r="R14" i="25"/>
  <c r="E14" i="25"/>
  <c r="D14" i="25"/>
  <c r="C14" i="25"/>
  <c r="B14" i="25"/>
  <c r="A14" i="25"/>
  <c r="EC7" i="25"/>
  <c r="E7" i="25"/>
  <c r="EP48" i="25"/>
  <c r="EO48" i="25"/>
  <c r="EN48" i="25"/>
  <c r="EM48" i="25"/>
  <c r="EL48" i="25"/>
  <c r="EK48" i="25"/>
  <c r="EJ48" i="25"/>
  <c r="EI48" i="25"/>
  <c r="EH48" i="25"/>
  <c r="EG48" i="25"/>
  <c r="EF48" i="25"/>
  <c r="EE48" i="25"/>
  <c r="ED46" i="25"/>
  <c r="ED48" i="25"/>
  <c r="DQ6" i="25"/>
  <c r="DQ32" i="25"/>
  <c r="DR6" i="25"/>
  <c r="DR32" i="25"/>
  <c r="DS6" i="25"/>
  <c r="DS32" i="25"/>
  <c r="DT6" i="25"/>
  <c r="DT32" i="25"/>
  <c r="DU6" i="25"/>
  <c r="DU32" i="25"/>
  <c r="DV6" i="25"/>
  <c r="DV32" i="25"/>
  <c r="DW6" i="25"/>
  <c r="DW32" i="25"/>
  <c r="DX6" i="25"/>
  <c r="DX32" i="25"/>
  <c r="DY6" i="25"/>
  <c r="DY32" i="25"/>
  <c r="DZ6" i="25"/>
  <c r="DZ32" i="25"/>
  <c r="EA6" i="25"/>
  <c r="EA32" i="25"/>
  <c r="EB6" i="25"/>
  <c r="EB32" i="25"/>
  <c r="EC32" i="25"/>
  <c r="DQ33" i="25"/>
  <c r="DR33" i="25"/>
  <c r="DS33" i="25"/>
  <c r="DT33" i="25"/>
  <c r="DU33" i="25"/>
  <c r="DV33" i="25"/>
  <c r="DW33" i="25"/>
  <c r="DX33" i="25"/>
  <c r="DY33" i="25"/>
  <c r="DZ33" i="25"/>
  <c r="EA33" i="25"/>
  <c r="EB33" i="25"/>
  <c r="EC33" i="25"/>
  <c r="DQ34" i="25"/>
  <c r="DR34" i="25"/>
  <c r="DS34" i="25"/>
  <c r="DT34" i="25"/>
  <c r="DU34" i="25"/>
  <c r="DV34" i="25"/>
  <c r="DW34" i="25"/>
  <c r="DX34" i="25"/>
  <c r="DY34" i="25"/>
  <c r="DZ34" i="25"/>
  <c r="EA34" i="25"/>
  <c r="EB34" i="25"/>
  <c r="EC34" i="25"/>
  <c r="EC35" i="25"/>
  <c r="DQ9" i="25"/>
  <c r="DQ36" i="25"/>
  <c r="DR9" i="25"/>
  <c r="DR36" i="25"/>
  <c r="DS9" i="25"/>
  <c r="DS36" i="25"/>
  <c r="DT9" i="25"/>
  <c r="DT36" i="25"/>
  <c r="DU9" i="25"/>
  <c r="DU36" i="25"/>
  <c r="DV9" i="25"/>
  <c r="DV36" i="25"/>
  <c r="DW9" i="25"/>
  <c r="DW36" i="25"/>
  <c r="DX9" i="25"/>
  <c r="DX36" i="25"/>
  <c r="DY9" i="25"/>
  <c r="DY36" i="25"/>
  <c r="DZ9" i="25"/>
  <c r="DZ36" i="25"/>
  <c r="EA9" i="25"/>
  <c r="EA36" i="25"/>
  <c r="EB9" i="25"/>
  <c r="EB36" i="25"/>
  <c r="EC36" i="25"/>
  <c r="DQ10" i="25"/>
  <c r="DQ11" i="25"/>
  <c r="DQ37" i="25"/>
  <c r="DR10" i="25"/>
  <c r="DR11" i="25"/>
  <c r="DR37" i="25"/>
  <c r="DS10" i="25"/>
  <c r="DS11" i="25"/>
  <c r="DS37" i="25"/>
  <c r="DT10" i="25"/>
  <c r="DT11" i="25"/>
  <c r="DT37" i="25"/>
  <c r="DU10" i="25"/>
  <c r="DU11" i="25"/>
  <c r="DU37" i="25"/>
  <c r="DV10" i="25"/>
  <c r="DV11" i="25"/>
  <c r="DV37" i="25"/>
  <c r="DW10" i="25"/>
  <c r="DW11" i="25"/>
  <c r="DW37" i="25"/>
  <c r="DX10" i="25"/>
  <c r="DX11" i="25"/>
  <c r="DX37" i="25"/>
  <c r="DY10" i="25"/>
  <c r="DY11" i="25"/>
  <c r="DY37" i="25"/>
  <c r="DZ10" i="25"/>
  <c r="DZ11" i="25"/>
  <c r="DZ37" i="25"/>
  <c r="EA10" i="25"/>
  <c r="EA11" i="25"/>
  <c r="EA37" i="25"/>
  <c r="EB10" i="25"/>
  <c r="EB11" i="25"/>
  <c r="EB37" i="25"/>
  <c r="EC37" i="25"/>
  <c r="DQ12" i="25"/>
  <c r="DQ13" i="25"/>
  <c r="DQ15" i="25"/>
  <c r="DQ16" i="25"/>
  <c r="DQ38" i="25"/>
  <c r="DR12" i="25"/>
  <c r="DR13" i="25"/>
  <c r="DR15" i="25"/>
  <c r="DR16" i="25"/>
  <c r="DR38" i="25"/>
  <c r="DS12" i="25"/>
  <c r="DS13" i="25"/>
  <c r="DS15" i="25"/>
  <c r="DS16" i="25"/>
  <c r="DS38" i="25"/>
  <c r="DT12" i="25"/>
  <c r="DT13" i="25"/>
  <c r="DT15" i="25"/>
  <c r="DT16" i="25"/>
  <c r="DT38" i="25"/>
  <c r="DU12" i="25"/>
  <c r="DU13" i="25"/>
  <c r="DU15" i="25"/>
  <c r="DU16" i="25"/>
  <c r="DU38" i="25"/>
  <c r="DV12" i="25"/>
  <c r="DV13" i="25"/>
  <c r="DV15" i="25"/>
  <c r="DV16" i="25"/>
  <c r="DV38" i="25"/>
  <c r="DW12" i="25"/>
  <c r="DW13" i="25"/>
  <c r="DW15" i="25"/>
  <c r="DW16" i="25"/>
  <c r="DW38" i="25"/>
  <c r="DX12" i="25"/>
  <c r="DX13" i="25"/>
  <c r="DX15" i="25"/>
  <c r="DX16" i="25"/>
  <c r="DX38" i="25"/>
  <c r="DY12" i="25"/>
  <c r="DY13" i="25"/>
  <c r="DY15" i="25"/>
  <c r="DY16" i="25"/>
  <c r="DY38" i="25"/>
  <c r="DZ12" i="25"/>
  <c r="DZ13" i="25"/>
  <c r="DZ15" i="25"/>
  <c r="DZ16" i="25"/>
  <c r="DZ38" i="25"/>
  <c r="EA12" i="25"/>
  <c r="EA13" i="25"/>
  <c r="EA15" i="25"/>
  <c r="EA16" i="25"/>
  <c r="EA38" i="25"/>
  <c r="EB12" i="25"/>
  <c r="EB13" i="25"/>
  <c r="EB15" i="25"/>
  <c r="EB16" i="25"/>
  <c r="EB38" i="25"/>
  <c r="EC38" i="25"/>
  <c r="DQ40" i="25"/>
  <c r="DR40" i="25"/>
  <c r="DS40" i="25"/>
  <c r="DT40" i="25"/>
  <c r="DU40" i="25"/>
  <c r="DV40" i="25"/>
  <c r="DW40" i="25"/>
  <c r="DX40" i="25"/>
  <c r="DY40" i="25"/>
  <c r="DZ40" i="25"/>
  <c r="EA40" i="25"/>
  <c r="EB40" i="25"/>
  <c r="EC40" i="25"/>
  <c r="DQ17" i="25"/>
  <c r="DQ41" i="25"/>
  <c r="DR17" i="25"/>
  <c r="DR41" i="25"/>
  <c r="DS17" i="25"/>
  <c r="DS41" i="25"/>
  <c r="DT17" i="25"/>
  <c r="DT41" i="25"/>
  <c r="DU17" i="25"/>
  <c r="DU41" i="25"/>
  <c r="DV17" i="25"/>
  <c r="DV41" i="25"/>
  <c r="DW17" i="25"/>
  <c r="DW41" i="25"/>
  <c r="DX17" i="25"/>
  <c r="DX41" i="25"/>
  <c r="DY17" i="25"/>
  <c r="DY41" i="25"/>
  <c r="DZ17" i="25"/>
  <c r="DZ41" i="25"/>
  <c r="EA17" i="25"/>
  <c r="EA41" i="25"/>
  <c r="EB17" i="25"/>
  <c r="EB41" i="25"/>
  <c r="EC41" i="25"/>
  <c r="EC46" i="25"/>
  <c r="EC48" i="25"/>
  <c r="EB46" i="25"/>
  <c r="EB48" i="25"/>
  <c r="EA46" i="25"/>
  <c r="EA48" i="25"/>
  <c r="DZ46" i="25"/>
  <c r="DZ48" i="25"/>
  <c r="DY46" i="25"/>
  <c r="DY48" i="25"/>
  <c r="DX46" i="25"/>
  <c r="DX48" i="25"/>
  <c r="DW46" i="25"/>
  <c r="DW48" i="25"/>
  <c r="DV46" i="25"/>
  <c r="DV48" i="25"/>
  <c r="DU46" i="25"/>
  <c r="DU48" i="25"/>
  <c r="DT46" i="25"/>
  <c r="DT48" i="25"/>
  <c r="DS46" i="25"/>
  <c r="DS48" i="25"/>
  <c r="DR46" i="25"/>
  <c r="DR48" i="25"/>
  <c r="DQ46" i="25"/>
  <c r="DQ48" i="25"/>
  <c r="DP46" i="25"/>
  <c r="DP48" i="25"/>
  <c r="DO32" i="25"/>
  <c r="DO33" i="25"/>
  <c r="DO34" i="25"/>
  <c r="DO35" i="25"/>
  <c r="DO36" i="25"/>
  <c r="DO37" i="25"/>
  <c r="DO38" i="25"/>
  <c r="DO40" i="25"/>
  <c r="DO41" i="25"/>
  <c r="DO46" i="25"/>
  <c r="DO48" i="25"/>
  <c r="DN46" i="25"/>
  <c r="DN48" i="25"/>
  <c r="DM46" i="25"/>
  <c r="DM48" i="25"/>
  <c r="DL46" i="25"/>
  <c r="DL48" i="25"/>
  <c r="DK46" i="25"/>
  <c r="DK48" i="25"/>
  <c r="DJ46" i="25"/>
  <c r="DJ48" i="25"/>
  <c r="DI46" i="25"/>
  <c r="DI48" i="25"/>
  <c r="DH46" i="25"/>
  <c r="DH48" i="25"/>
  <c r="DG46" i="25"/>
  <c r="DG48" i="25"/>
  <c r="DF46" i="25"/>
  <c r="DF48" i="25"/>
  <c r="DE46" i="25"/>
  <c r="DE48" i="25"/>
  <c r="DD46" i="25"/>
  <c r="DD48" i="25"/>
  <c r="DC46" i="25"/>
  <c r="DC48" i="25"/>
  <c r="DB46" i="25"/>
  <c r="DB48" i="25"/>
  <c r="DA32" i="25"/>
  <c r="DA33" i="25"/>
  <c r="DA34" i="25"/>
  <c r="DA35" i="25"/>
  <c r="DA36" i="25"/>
  <c r="DA37" i="25"/>
  <c r="DA38" i="25"/>
  <c r="DA40" i="25"/>
  <c r="DA41" i="25"/>
  <c r="DA46" i="25"/>
  <c r="DA48" i="25"/>
  <c r="CZ46" i="25"/>
  <c r="CZ48" i="25"/>
  <c r="CY46" i="25"/>
  <c r="CY48" i="25"/>
  <c r="CX46" i="25"/>
  <c r="CX48" i="25"/>
  <c r="CW46" i="25"/>
  <c r="CW48" i="25"/>
  <c r="CV46" i="25"/>
  <c r="CV48" i="25"/>
  <c r="CU46" i="25"/>
  <c r="CU48" i="25"/>
  <c r="CT46" i="25"/>
  <c r="CT48" i="25"/>
  <c r="CS46" i="25"/>
  <c r="CS48" i="25"/>
  <c r="CR46" i="25"/>
  <c r="CR48" i="25"/>
  <c r="CQ46" i="25"/>
  <c r="CQ48" i="25"/>
  <c r="CP46" i="25"/>
  <c r="CP48" i="25"/>
  <c r="CO46" i="25"/>
  <c r="CO48" i="25"/>
  <c r="CN46" i="25"/>
  <c r="CN48" i="25"/>
  <c r="CA32" i="25"/>
  <c r="CB32" i="25"/>
  <c r="CC32" i="25"/>
  <c r="CD32" i="25"/>
  <c r="CE32" i="25"/>
  <c r="CF32" i="25"/>
  <c r="CG32" i="25"/>
  <c r="CH32" i="25"/>
  <c r="CI32" i="25"/>
  <c r="CJ32" i="25"/>
  <c r="CK32" i="25"/>
  <c r="CL32" i="25"/>
  <c r="CM32" i="25"/>
  <c r="CA33" i="25"/>
  <c r="CB33" i="25"/>
  <c r="CC33" i="25"/>
  <c r="CD33" i="25"/>
  <c r="CE33" i="25"/>
  <c r="CF33" i="25"/>
  <c r="CG33" i="25"/>
  <c r="CH33" i="25"/>
  <c r="CI33" i="25"/>
  <c r="CJ33" i="25"/>
  <c r="CK33" i="25"/>
  <c r="CL33" i="25"/>
  <c r="CM33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A35" i="25"/>
  <c r="CB35" i="25"/>
  <c r="CC35" i="25"/>
  <c r="CD35" i="25"/>
  <c r="CE35" i="25"/>
  <c r="CF35" i="25"/>
  <c r="CG35" i="25"/>
  <c r="CH35" i="25"/>
  <c r="CI35" i="25"/>
  <c r="CJ35" i="25"/>
  <c r="CK35" i="25"/>
  <c r="CL35" i="25"/>
  <c r="CM35" i="25"/>
  <c r="CA36" i="25"/>
  <c r="CB36" i="25"/>
  <c r="CC36" i="25"/>
  <c r="CD36" i="25"/>
  <c r="CE36" i="25"/>
  <c r="CF36" i="25"/>
  <c r="CG36" i="25"/>
  <c r="CH36" i="25"/>
  <c r="CI36" i="25"/>
  <c r="CJ36" i="25"/>
  <c r="CK36" i="25"/>
  <c r="CL36" i="25"/>
  <c r="CM36" i="25"/>
  <c r="CA37" i="25"/>
  <c r="CB37" i="25"/>
  <c r="CC37" i="25"/>
  <c r="CD37" i="25"/>
  <c r="CE37" i="25"/>
  <c r="CF37" i="25"/>
  <c r="CG37" i="25"/>
  <c r="CH37" i="25"/>
  <c r="CI37" i="25"/>
  <c r="CJ37" i="25"/>
  <c r="CK37" i="25"/>
  <c r="CL37" i="25"/>
  <c r="CM37" i="25"/>
  <c r="CA38" i="25"/>
  <c r="CB38" i="25"/>
  <c r="CC38" i="25"/>
  <c r="CD38" i="25"/>
  <c r="CE38" i="25"/>
  <c r="CF38" i="25"/>
  <c r="CG38" i="25"/>
  <c r="CH38" i="25"/>
  <c r="CI38" i="25"/>
  <c r="CJ38" i="25"/>
  <c r="CK38" i="25"/>
  <c r="CL38" i="25"/>
  <c r="CM38" i="25"/>
  <c r="CA40" i="25"/>
  <c r="CB40" i="25"/>
  <c r="CC40" i="25"/>
  <c r="CD40" i="25"/>
  <c r="CE40" i="25"/>
  <c r="CF40" i="25"/>
  <c r="CG40" i="25"/>
  <c r="CH40" i="25"/>
  <c r="CI40" i="25"/>
  <c r="CJ40" i="25"/>
  <c r="CK40" i="25"/>
  <c r="CL40" i="25"/>
  <c r="CM40" i="25"/>
  <c r="CA41" i="25"/>
  <c r="CB41" i="25"/>
  <c r="CC41" i="25"/>
  <c r="CD41" i="25"/>
  <c r="CE41" i="25"/>
  <c r="CF41" i="25"/>
  <c r="CG41" i="25"/>
  <c r="CH41" i="25"/>
  <c r="CI41" i="25"/>
  <c r="CJ41" i="25"/>
  <c r="CK41" i="25"/>
  <c r="CL41" i="25"/>
  <c r="CM41" i="25"/>
  <c r="CM46" i="25"/>
  <c r="CM48" i="25"/>
  <c r="CL46" i="25"/>
  <c r="CL48" i="25"/>
  <c r="CK46" i="25"/>
  <c r="CK48" i="25"/>
  <c r="CJ46" i="25"/>
  <c r="CJ48" i="25"/>
  <c r="CI46" i="25"/>
  <c r="CI48" i="25"/>
  <c r="CH46" i="25"/>
  <c r="CH48" i="25"/>
  <c r="CG46" i="25"/>
  <c r="CG48" i="25"/>
  <c r="CF46" i="25"/>
  <c r="CF48" i="25"/>
  <c r="CE46" i="25"/>
  <c r="CE48" i="25"/>
  <c r="CD46" i="25"/>
  <c r="CD48" i="25"/>
  <c r="CC46" i="25"/>
  <c r="CC48" i="25"/>
  <c r="CB46" i="25"/>
  <c r="CB48" i="25"/>
  <c r="CA46" i="25"/>
  <c r="CA48" i="25"/>
  <c r="BZ46" i="25"/>
  <c r="BZ48" i="25"/>
  <c r="BM32" i="25"/>
  <c r="BN32" i="25"/>
  <c r="BO32" i="25"/>
  <c r="BP32" i="25"/>
  <c r="BQ32" i="25"/>
  <c r="BR32" i="25"/>
  <c r="BS32" i="25"/>
  <c r="BT32" i="25"/>
  <c r="BU32" i="25"/>
  <c r="BV32" i="25"/>
  <c r="BW32" i="25"/>
  <c r="BX32" i="25"/>
  <c r="BY32" i="25"/>
  <c r="BM33" i="25"/>
  <c r="BN33" i="25"/>
  <c r="BO33" i="25"/>
  <c r="BP33" i="25"/>
  <c r="BQ33" i="25"/>
  <c r="BR33" i="25"/>
  <c r="BS33" i="25"/>
  <c r="BT33" i="25"/>
  <c r="BU33" i="25"/>
  <c r="BV33" i="25"/>
  <c r="BW33" i="25"/>
  <c r="BX33" i="25"/>
  <c r="BY33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M35" i="25"/>
  <c r="BN35" i="25"/>
  <c r="BO35" i="25"/>
  <c r="BP35" i="25"/>
  <c r="BQ35" i="25"/>
  <c r="BR35" i="25"/>
  <c r="BS35" i="25"/>
  <c r="BT35" i="25"/>
  <c r="BU35" i="25"/>
  <c r="BV35" i="25"/>
  <c r="BW35" i="25"/>
  <c r="BX35" i="25"/>
  <c r="BY35" i="25"/>
  <c r="BM36" i="25"/>
  <c r="BN36" i="25"/>
  <c r="BO36" i="25"/>
  <c r="BP36" i="25"/>
  <c r="BQ36" i="25"/>
  <c r="BR36" i="25"/>
  <c r="BS36" i="25"/>
  <c r="BT36" i="25"/>
  <c r="BU36" i="25"/>
  <c r="BV36" i="25"/>
  <c r="BW36" i="25"/>
  <c r="BX36" i="25"/>
  <c r="BY36" i="25"/>
  <c r="BM37" i="25"/>
  <c r="BN37" i="25"/>
  <c r="BO37" i="25"/>
  <c r="BP37" i="25"/>
  <c r="BQ37" i="25"/>
  <c r="BR37" i="25"/>
  <c r="BS37" i="25"/>
  <c r="BT37" i="25"/>
  <c r="BU37" i="25"/>
  <c r="BV37" i="25"/>
  <c r="BW37" i="25"/>
  <c r="BX37" i="25"/>
  <c r="BY37" i="25"/>
  <c r="BM38" i="25"/>
  <c r="BN38" i="25"/>
  <c r="BO38" i="25"/>
  <c r="BP38" i="25"/>
  <c r="BQ38" i="25"/>
  <c r="BR38" i="25"/>
  <c r="BS38" i="25"/>
  <c r="BT38" i="25"/>
  <c r="BU38" i="25"/>
  <c r="BV38" i="25"/>
  <c r="BW38" i="25"/>
  <c r="BX38" i="25"/>
  <c r="BY38" i="25"/>
  <c r="BM40" i="25"/>
  <c r="BN40" i="25"/>
  <c r="BO40" i="25"/>
  <c r="BP40" i="25"/>
  <c r="BQ40" i="25"/>
  <c r="BR40" i="25"/>
  <c r="BS40" i="25"/>
  <c r="BT40" i="25"/>
  <c r="BU40" i="25"/>
  <c r="BV40" i="25"/>
  <c r="BW40" i="25"/>
  <c r="BX40" i="25"/>
  <c r="BY40" i="25"/>
  <c r="BM41" i="25"/>
  <c r="BN41" i="25"/>
  <c r="BO41" i="25"/>
  <c r="BP41" i="25"/>
  <c r="BQ41" i="25"/>
  <c r="BR41" i="25"/>
  <c r="BS41" i="25"/>
  <c r="BT41" i="25"/>
  <c r="BU41" i="25"/>
  <c r="BV41" i="25"/>
  <c r="BW41" i="25"/>
  <c r="BX41" i="25"/>
  <c r="BY41" i="25"/>
  <c r="BY46" i="25"/>
  <c r="BY48" i="25"/>
  <c r="BX46" i="25"/>
  <c r="BX48" i="25"/>
  <c r="BW46" i="25"/>
  <c r="BW48" i="25"/>
  <c r="BV46" i="25"/>
  <c r="BV48" i="25"/>
  <c r="BU46" i="25"/>
  <c r="BU48" i="25"/>
  <c r="BT46" i="25"/>
  <c r="BT48" i="25"/>
  <c r="BS46" i="25"/>
  <c r="BS48" i="25"/>
  <c r="BR46" i="25"/>
  <c r="BR48" i="25"/>
  <c r="BQ46" i="25"/>
  <c r="BQ48" i="25"/>
  <c r="BP46" i="25"/>
  <c r="BP48" i="25"/>
  <c r="BO46" i="25"/>
  <c r="BO48" i="25"/>
  <c r="BN46" i="25"/>
  <c r="BN48" i="25"/>
  <c r="BM46" i="25"/>
  <c r="BM48" i="25"/>
  <c r="BL46" i="25"/>
  <c r="BL48" i="25"/>
  <c r="AY32" i="25"/>
  <c r="AZ32" i="25"/>
  <c r="BA32" i="25"/>
  <c r="BB32" i="25"/>
  <c r="BC32" i="25"/>
  <c r="BD32" i="25"/>
  <c r="BE32" i="25"/>
  <c r="BF32" i="25"/>
  <c r="BG32" i="25"/>
  <c r="BH32" i="25"/>
  <c r="BI32" i="25"/>
  <c r="BJ32" i="25"/>
  <c r="BK32" i="25"/>
  <c r="AY33" i="25"/>
  <c r="AZ33" i="25"/>
  <c r="BA33" i="25"/>
  <c r="BB33" i="25"/>
  <c r="BC33" i="25"/>
  <c r="BD33" i="25"/>
  <c r="BE33" i="25"/>
  <c r="BF33" i="25"/>
  <c r="BG33" i="25"/>
  <c r="BH33" i="25"/>
  <c r="BI33" i="25"/>
  <c r="BJ33" i="25"/>
  <c r="BK33" i="25"/>
  <c r="AY34" i="25"/>
  <c r="AZ34" i="25"/>
  <c r="BA34" i="25"/>
  <c r="BB34" i="25"/>
  <c r="BC34" i="25"/>
  <c r="BD34" i="25"/>
  <c r="BE34" i="25"/>
  <c r="BF34" i="25"/>
  <c r="BG34" i="25"/>
  <c r="BH34" i="25"/>
  <c r="BI34" i="25"/>
  <c r="BJ34" i="25"/>
  <c r="BK34" i="25"/>
  <c r="AY35" i="25"/>
  <c r="AZ35" i="25"/>
  <c r="BA35" i="25"/>
  <c r="BB35" i="25"/>
  <c r="BC35" i="25"/>
  <c r="BD35" i="25"/>
  <c r="BE35" i="25"/>
  <c r="BF35" i="25"/>
  <c r="BG35" i="25"/>
  <c r="BH35" i="25"/>
  <c r="BI35" i="25"/>
  <c r="BJ35" i="25"/>
  <c r="BK35" i="25"/>
  <c r="AY36" i="25"/>
  <c r="AZ36" i="25"/>
  <c r="BA36" i="25"/>
  <c r="BB36" i="25"/>
  <c r="BC36" i="25"/>
  <c r="BD36" i="25"/>
  <c r="BE36" i="25"/>
  <c r="BF36" i="25"/>
  <c r="BG36" i="25"/>
  <c r="BH36" i="25"/>
  <c r="BI36" i="25"/>
  <c r="BJ36" i="25"/>
  <c r="BK36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AY38" i="25"/>
  <c r="AZ38" i="25"/>
  <c r="BA38" i="25"/>
  <c r="BB38" i="25"/>
  <c r="BC38" i="25"/>
  <c r="BD38" i="25"/>
  <c r="BE38" i="25"/>
  <c r="BF38" i="25"/>
  <c r="BG38" i="25"/>
  <c r="BH38" i="25"/>
  <c r="BI38" i="25"/>
  <c r="BJ38" i="25"/>
  <c r="BK38" i="25"/>
  <c r="AY40" i="25"/>
  <c r="AZ40" i="25"/>
  <c r="BA40" i="25"/>
  <c r="BB40" i="25"/>
  <c r="BC40" i="25"/>
  <c r="BD40" i="25"/>
  <c r="BE40" i="25"/>
  <c r="BF40" i="25"/>
  <c r="BG40" i="25"/>
  <c r="BH40" i="25"/>
  <c r="BI40" i="25"/>
  <c r="BJ40" i="25"/>
  <c r="BK40" i="25"/>
  <c r="AY41" i="25"/>
  <c r="AZ41" i="25"/>
  <c r="BA41" i="25"/>
  <c r="BB41" i="25"/>
  <c r="BC41" i="25"/>
  <c r="BD41" i="25"/>
  <c r="BE41" i="25"/>
  <c r="BF41" i="25"/>
  <c r="BG41" i="25"/>
  <c r="BH41" i="25"/>
  <c r="BI41" i="25"/>
  <c r="BJ41" i="25"/>
  <c r="BK41" i="25"/>
  <c r="BK46" i="25"/>
  <c r="BK48" i="25"/>
  <c r="BJ46" i="25"/>
  <c r="BJ48" i="25"/>
  <c r="BI46" i="25"/>
  <c r="BI48" i="25"/>
  <c r="BH46" i="25"/>
  <c r="BH48" i="25"/>
  <c r="BG46" i="25"/>
  <c r="BG48" i="25"/>
  <c r="BF46" i="25"/>
  <c r="BF48" i="25"/>
  <c r="BE46" i="25"/>
  <c r="BE48" i="25"/>
  <c r="BD46" i="25"/>
  <c r="BD48" i="25"/>
  <c r="BC46" i="25"/>
  <c r="BC48" i="25"/>
  <c r="BB46" i="25"/>
  <c r="BB48" i="25"/>
  <c r="BA46" i="25"/>
  <c r="BA48" i="25"/>
  <c r="AZ46" i="25"/>
  <c r="AZ48" i="25"/>
  <c r="AY46" i="25"/>
  <c r="AY48" i="25"/>
  <c r="AX46" i="25"/>
  <c r="AX48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K33" i="25"/>
  <c r="AL33" i="25"/>
  <c r="AM33" i="25"/>
  <c r="AN33" i="25"/>
  <c r="AO33" i="25"/>
  <c r="AP33" i="25"/>
  <c r="AQ33" i="25"/>
  <c r="AR33" i="25"/>
  <c r="AS33" i="25"/>
  <c r="AT33" i="25"/>
  <c r="AU33" i="25"/>
  <c r="AV33" i="25"/>
  <c r="AW33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K35" i="25"/>
  <c r="AL35" i="25"/>
  <c r="AM35" i="25"/>
  <c r="AN35" i="25"/>
  <c r="AO35" i="25"/>
  <c r="AP35" i="25"/>
  <c r="AQ35" i="25"/>
  <c r="AR35" i="25"/>
  <c r="AS35" i="25"/>
  <c r="AT35" i="25"/>
  <c r="AU35" i="25"/>
  <c r="AV35" i="25"/>
  <c r="AW35" i="25"/>
  <c r="AK36" i="25"/>
  <c r="AL36" i="25"/>
  <c r="AM36" i="25"/>
  <c r="AN36" i="25"/>
  <c r="AO36" i="25"/>
  <c r="AP36" i="25"/>
  <c r="AQ36" i="25"/>
  <c r="AR36" i="25"/>
  <c r="AS36" i="25"/>
  <c r="AT36" i="25"/>
  <c r="AU36" i="25"/>
  <c r="AV36" i="25"/>
  <c r="AW36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K38" i="25"/>
  <c r="AL38" i="25"/>
  <c r="AM38" i="25"/>
  <c r="AN38" i="25"/>
  <c r="AO38" i="25"/>
  <c r="AP38" i="25"/>
  <c r="AQ38" i="25"/>
  <c r="AR38" i="25"/>
  <c r="AS38" i="25"/>
  <c r="AT38" i="25"/>
  <c r="AU38" i="25"/>
  <c r="AV38" i="25"/>
  <c r="AW38" i="25"/>
  <c r="AK40" i="25"/>
  <c r="AL40" i="25"/>
  <c r="AM40" i="25"/>
  <c r="AN40" i="25"/>
  <c r="AO40" i="25"/>
  <c r="AP40" i="25"/>
  <c r="AQ40" i="25"/>
  <c r="AR40" i="25"/>
  <c r="AS40" i="25"/>
  <c r="AT40" i="25"/>
  <c r="AU40" i="25"/>
  <c r="AV40" i="25"/>
  <c r="AW40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W46" i="25"/>
  <c r="AW48" i="25"/>
  <c r="AV46" i="25"/>
  <c r="AV48" i="25"/>
  <c r="AU46" i="25"/>
  <c r="AU48" i="25"/>
  <c r="AT46" i="25"/>
  <c r="AT48" i="25"/>
  <c r="AS46" i="25"/>
  <c r="AS48" i="25"/>
  <c r="AR46" i="25"/>
  <c r="AR48" i="25"/>
  <c r="AQ46" i="25"/>
  <c r="AQ48" i="25"/>
  <c r="AP46" i="25"/>
  <c r="AP48" i="25"/>
  <c r="AO46" i="25"/>
  <c r="AO48" i="25"/>
  <c r="AN46" i="25"/>
  <c r="AN48" i="25"/>
  <c r="AM46" i="25"/>
  <c r="AM48" i="25"/>
  <c r="AL46" i="25"/>
  <c r="AL48" i="25"/>
  <c r="AK46" i="25"/>
  <c r="AK48" i="25"/>
  <c r="AJ46" i="25"/>
  <c r="AJ48" i="25"/>
  <c r="W32" i="25"/>
  <c r="X32" i="25"/>
  <c r="Y32" i="25"/>
  <c r="Z32" i="25"/>
  <c r="AA32" i="25"/>
  <c r="AB32" i="25"/>
  <c r="AC32" i="25"/>
  <c r="AD32" i="25"/>
  <c r="AE32" i="25"/>
  <c r="AF32" i="25"/>
  <c r="AG32" i="25"/>
  <c r="AH32" i="25"/>
  <c r="AI32" i="25"/>
  <c r="W33" i="25"/>
  <c r="X33" i="25"/>
  <c r="Y33" i="25"/>
  <c r="Z33" i="25"/>
  <c r="AA33" i="25"/>
  <c r="AB33" i="25"/>
  <c r="AC33" i="25"/>
  <c r="AD33" i="25"/>
  <c r="AE33" i="25"/>
  <c r="AF33" i="25"/>
  <c r="AG33" i="25"/>
  <c r="AH33" i="25"/>
  <c r="AI33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I46" i="25"/>
  <c r="AI48" i="25"/>
  <c r="AH46" i="25"/>
  <c r="AH48" i="25"/>
  <c r="AG46" i="25"/>
  <c r="AG48" i="25"/>
  <c r="AF46" i="25"/>
  <c r="AF48" i="25"/>
  <c r="AE46" i="25"/>
  <c r="AE48" i="25"/>
  <c r="AD46" i="25"/>
  <c r="AD48" i="25"/>
  <c r="AC46" i="25"/>
  <c r="AC48" i="25"/>
  <c r="AB46" i="25"/>
  <c r="AB48" i="25"/>
  <c r="AA46" i="25"/>
  <c r="AA48" i="25"/>
  <c r="Z46" i="25"/>
  <c r="Z48" i="25"/>
  <c r="Y46" i="25"/>
  <c r="Y48" i="25"/>
  <c r="X46" i="25"/>
  <c r="X48" i="25"/>
  <c r="W46" i="25"/>
  <c r="W48" i="25"/>
  <c r="Q15" i="25"/>
  <c r="R15" i="25"/>
  <c r="S6" i="52"/>
  <c r="S7" i="52"/>
  <c r="AG7" i="52"/>
  <c r="AH7" i="52"/>
  <c r="S5" i="52"/>
  <c r="T7" i="52"/>
  <c r="E7" i="52"/>
  <c r="E5" i="52"/>
  <c r="F7" i="52"/>
  <c r="AG5" i="49"/>
  <c r="ER46" i="25"/>
  <c r="S5" i="49"/>
  <c r="S6" i="49"/>
  <c r="S7" i="49"/>
  <c r="E7" i="49"/>
  <c r="E5" i="49"/>
  <c r="F7" i="49"/>
  <c r="E8" i="49"/>
  <c r="F8" i="49"/>
  <c r="E6" i="49"/>
  <c r="F6" i="49"/>
  <c r="D6" i="49"/>
  <c r="D7" i="49"/>
  <c r="D8" i="49"/>
  <c r="D9" i="49"/>
  <c r="E9" i="49"/>
  <c r="D5" i="49"/>
  <c r="D10" i="49"/>
  <c r="E10" i="49"/>
  <c r="D11" i="49"/>
  <c r="E11" i="49"/>
  <c r="C8" i="49"/>
  <c r="C7" i="49"/>
  <c r="C6" i="49"/>
  <c r="C5" i="49"/>
  <c r="AI6" i="25"/>
  <c r="AW6" i="25"/>
  <c r="BK6" i="25"/>
  <c r="BY6" i="25"/>
  <c r="CM6" i="25"/>
  <c r="B6" i="25"/>
  <c r="DA6" i="25"/>
  <c r="C6" i="25"/>
  <c r="DO6" i="25"/>
  <c r="D6" i="25"/>
  <c r="EC6" i="25"/>
  <c r="E6" i="25"/>
  <c r="A6" i="25"/>
  <c r="Q6" i="25"/>
  <c r="R6" i="25"/>
  <c r="EQ6" i="25"/>
  <c r="ES46" i="25"/>
  <c r="AG15" i="41"/>
  <c r="AG16" i="41"/>
  <c r="AG25" i="41"/>
  <c r="AG26" i="41"/>
  <c r="AG17" i="41"/>
  <c r="AG18" i="41"/>
  <c r="AG19" i="41"/>
  <c r="AG27" i="41"/>
  <c r="AG28" i="41"/>
  <c r="AG29" i="41"/>
  <c r="AG30" i="41"/>
  <c r="AG31" i="41"/>
  <c r="AG32" i="41"/>
  <c r="AG33" i="41"/>
  <c r="AG34" i="41"/>
  <c r="AG35" i="41"/>
  <c r="AG36" i="41"/>
  <c r="AG37" i="41"/>
  <c r="AG38" i="41"/>
  <c r="AG39" i="41"/>
  <c r="AG40" i="41"/>
  <c r="AG41" i="41"/>
  <c r="AG42" i="41"/>
  <c r="AG43" i="41"/>
  <c r="AG44" i="41"/>
  <c r="AG45" i="41"/>
  <c r="AG46" i="41"/>
  <c r="AG47" i="41"/>
  <c r="AG48" i="41"/>
  <c r="AG49" i="41"/>
  <c r="AG55" i="41"/>
  <c r="AG69" i="41"/>
  <c r="AF69" i="41"/>
  <c r="AE69" i="41"/>
  <c r="AD69" i="41"/>
  <c r="AC69" i="41"/>
  <c r="AB69" i="41"/>
  <c r="AA69" i="41"/>
  <c r="Z69" i="41"/>
  <c r="Y69" i="41"/>
  <c r="X69" i="41"/>
  <c r="W69" i="41"/>
  <c r="V69" i="41"/>
  <c r="U69" i="41"/>
  <c r="S15" i="41"/>
  <c r="S16" i="41"/>
  <c r="S25" i="41"/>
  <c r="S26" i="41"/>
  <c r="S17" i="41"/>
  <c r="S18" i="41"/>
  <c r="S19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5" i="41"/>
  <c r="S69" i="41"/>
  <c r="R49" i="41"/>
  <c r="R50" i="41"/>
  <c r="Q49" i="41"/>
  <c r="Q50" i="41"/>
  <c r="P49" i="41"/>
  <c r="P50" i="41"/>
  <c r="O49" i="41"/>
  <c r="O50" i="41"/>
  <c r="N49" i="41"/>
  <c r="N50" i="41"/>
  <c r="M49" i="41"/>
  <c r="M50" i="41"/>
  <c r="L49" i="41"/>
  <c r="L50" i="41"/>
  <c r="K49" i="41"/>
  <c r="K50" i="41"/>
  <c r="J49" i="41"/>
  <c r="J50" i="41"/>
  <c r="I49" i="41"/>
  <c r="I50" i="41"/>
  <c r="H49" i="41"/>
  <c r="H50" i="41"/>
  <c r="G50" i="41"/>
  <c r="AG5" i="54"/>
  <c r="E17" i="54"/>
  <c r="D5" i="53"/>
  <c r="E5" i="53"/>
  <c r="D6" i="53"/>
  <c r="E6" i="53"/>
  <c r="C6" i="53"/>
  <c r="C5" i="53"/>
  <c r="S26" i="51"/>
  <c r="S25" i="51"/>
  <c r="S18" i="51"/>
  <c r="S17" i="51"/>
  <c r="S19" i="51"/>
  <c r="S20" i="51"/>
  <c r="S21" i="51"/>
  <c r="S22" i="51"/>
  <c r="S23" i="51"/>
  <c r="S24" i="51"/>
  <c r="S16" i="51"/>
  <c r="S13" i="51"/>
  <c r="S14" i="51"/>
  <c r="S15" i="51"/>
  <c r="S12" i="51"/>
  <c r="K30" i="51"/>
  <c r="L30" i="51"/>
  <c r="M30" i="51"/>
  <c r="N30" i="51"/>
  <c r="O30" i="51"/>
  <c r="P30" i="51"/>
  <c r="Q30" i="51"/>
  <c r="R30" i="51"/>
  <c r="J30" i="51"/>
  <c r="E5" i="51"/>
  <c r="E6" i="51"/>
  <c r="E7" i="51"/>
  <c r="E8" i="51"/>
  <c r="D5" i="51"/>
  <c r="D6" i="51"/>
  <c r="D7" i="51"/>
  <c r="D8" i="51"/>
  <c r="C6" i="51"/>
  <c r="C5" i="51"/>
  <c r="AG6" i="52"/>
  <c r="AG8" i="52"/>
  <c r="AG9" i="52"/>
  <c r="AG10" i="52"/>
  <c r="AG11" i="52"/>
  <c r="AF9" i="52"/>
  <c r="AF10" i="52"/>
  <c r="AF11" i="52"/>
  <c r="AE9" i="52"/>
  <c r="AE10" i="52"/>
  <c r="AE11" i="52"/>
  <c r="AD9" i="52"/>
  <c r="AD10" i="52"/>
  <c r="AD11" i="52"/>
  <c r="AC9" i="52"/>
  <c r="AC10" i="52"/>
  <c r="AC11" i="52"/>
  <c r="AB9" i="52"/>
  <c r="AB10" i="52"/>
  <c r="AB11" i="52"/>
  <c r="AA9" i="52"/>
  <c r="AA10" i="52"/>
  <c r="AA11" i="52"/>
  <c r="Z9" i="52"/>
  <c r="Z10" i="52"/>
  <c r="Z11" i="52"/>
  <c r="Y9" i="52"/>
  <c r="Y10" i="52"/>
  <c r="Y11" i="52"/>
  <c r="X9" i="52"/>
  <c r="X10" i="52"/>
  <c r="X11" i="52"/>
  <c r="W9" i="52"/>
  <c r="W10" i="52"/>
  <c r="W11" i="52"/>
  <c r="V9" i="52"/>
  <c r="V10" i="52"/>
  <c r="V11" i="52"/>
  <c r="U9" i="52"/>
  <c r="U10" i="52"/>
  <c r="U11" i="52"/>
  <c r="AG24" i="52"/>
  <c r="AG27" i="52"/>
  <c r="AG30" i="52"/>
  <c r="AG36" i="52"/>
  <c r="AG21" i="52"/>
  <c r="AG33" i="52"/>
  <c r="AG18" i="52"/>
  <c r="AG15" i="52"/>
  <c r="AG39" i="52"/>
  <c r="AG40" i="52"/>
  <c r="AF39" i="52"/>
  <c r="AF40" i="52"/>
  <c r="AE39" i="52"/>
  <c r="AE40" i="52"/>
  <c r="AD39" i="52"/>
  <c r="AD40" i="52"/>
  <c r="AC39" i="52"/>
  <c r="AC40" i="52"/>
  <c r="AB39" i="52"/>
  <c r="AB40" i="52"/>
  <c r="AA39" i="52"/>
  <c r="AA40" i="52"/>
  <c r="Z39" i="52"/>
  <c r="Z40" i="52"/>
  <c r="Y39" i="52"/>
  <c r="Y40" i="52"/>
  <c r="X39" i="52"/>
  <c r="X40" i="52"/>
  <c r="W39" i="52"/>
  <c r="W40" i="52"/>
  <c r="V39" i="52"/>
  <c r="V40" i="52"/>
  <c r="U39" i="52"/>
  <c r="U40" i="52"/>
  <c r="AG35" i="52"/>
  <c r="AG34" i="52"/>
  <c r="AG31" i="52"/>
  <c r="AG32" i="52"/>
  <c r="AG28" i="52"/>
  <c r="AG29" i="52"/>
  <c r="AG25" i="52"/>
  <c r="AG26" i="52"/>
  <c r="AG22" i="52"/>
  <c r="AG23" i="52"/>
  <c r="AG19" i="52"/>
  <c r="AG20" i="52"/>
  <c r="AG16" i="52"/>
  <c r="AG17" i="52"/>
  <c r="AG13" i="52"/>
  <c r="AG14" i="52"/>
  <c r="E9" i="52"/>
  <c r="E10" i="52"/>
  <c r="E11" i="52"/>
  <c r="D9" i="52"/>
  <c r="D5" i="52"/>
  <c r="D10" i="52"/>
  <c r="D11" i="52"/>
  <c r="C9" i="52"/>
  <c r="C5" i="52"/>
  <c r="C10" i="52"/>
  <c r="C11" i="52"/>
  <c r="H40" i="52"/>
  <c r="I40" i="52"/>
  <c r="J40" i="52"/>
  <c r="K40" i="52"/>
  <c r="L40" i="52"/>
  <c r="M40" i="52"/>
  <c r="N40" i="52"/>
  <c r="O40" i="52"/>
  <c r="P40" i="52"/>
  <c r="Q40" i="52"/>
  <c r="R40" i="52"/>
  <c r="S33" i="52"/>
  <c r="S30" i="52"/>
  <c r="S27" i="52"/>
  <c r="S24" i="52"/>
  <c r="S21" i="52"/>
  <c r="S8" i="52"/>
  <c r="E8" i="52"/>
  <c r="D8" i="52"/>
  <c r="C8" i="52"/>
  <c r="D7" i="52"/>
  <c r="E6" i="52"/>
  <c r="D6" i="52"/>
  <c r="C6" i="52"/>
  <c r="C7" i="52"/>
  <c r="P37" i="49"/>
  <c r="P46" i="49"/>
  <c r="P47" i="49"/>
  <c r="Q37" i="49"/>
  <c r="Q46" i="49"/>
  <c r="Q47" i="49"/>
  <c r="R37" i="49"/>
  <c r="R46" i="49"/>
  <c r="R47" i="49"/>
  <c r="O37" i="49"/>
  <c r="N37" i="49"/>
  <c r="M37" i="49"/>
  <c r="L37" i="49"/>
  <c r="K37" i="49"/>
  <c r="J37" i="49"/>
  <c r="I37" i="49"/>
  <c r="H37" i="49"/>
  <c r="G37" i="49"/>
  <c r="G46" i="49"/>
  <c r="H46" i="49"/>
  <c r="I46" i="49"/>
  <c r="J46" i="49"/>
  <c r="K46" i="49"/>
  <c r="L46" i="49"/>
  <c r="M46" i="49"/>
  <c r="N46" i="49"/>
  <c r="O46" i="49"/>
  <c r="C22" i="14"/>
  <c r="D22" i="14"/>
  <c r="E22" i="14"/>
  <c r="F14" i="14"/>
  <c r="F22" i="14"/>
  <c r="C23" i="14"/>
  <c r="D23" i="14"/>
  <c r="E23" i="14"/>
  <c r="F18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F21" i="14"/>
  <c r="F10" i="14"/>
  <c r="F27" i="14"/>
  <c r="C76" i="14"/>
  <c r="D76" i="14"/>
  <c r="C74" i="14"/>
  <c r="D74" i="14"/>
  <c r="E74" i="14"/>
  <c r="F48" i="14"/>
  <c r="F39" i="14"/>
  <c r="F61" i="14"/>
  <c r="F64" i="14"/>
  <c r="F74" i="14"/>
  <c r="C75" i="14"/>
  <c r="D75" i="14"/>
  <c r="E75" i="14"/>
  <c r="F75" i="14"/>
  <c r="F68" i="14"/>
  <c r="F70" i="14"/>
  <c r="F71" i="14"/>
  <c r="C65" i="14"/>
  <c r="D65" i="14"/>
  <c r="E65" i="14"/>
  <c r="F65" i="14"/>
  <c r="C28" i="14"/>
  <c r="D28" i="14"/>
  <c r="E28" i="14"/>
  <c r="F28" i="14"/>
  <c r="G22" i="14"/>
  <c r="G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32" i="14"/>
  <c r="D32" i="14"/>
  <c r="E32" i="14"/>
  <c r="F32" i="14"/>
  <c r="G26" i="14"/>
  <c r="G32" i="14"/>
  <c r="C33" i="14"/>
  <c r="D33" i="14"/>
  <c r="E33" i="14"/>
  <c r="F33" i="14"/>
  <c r="N128" i="65"/>
  <c r="N129" i="65"/>
  <c r="N130" i="65"/>
  <c r="N131" i="65"/>
  <c r="N121" i="65"/>
  <c r="N122" i="65"/>
  <c r="N123" i="65"/>
  <c r="N124" i="65"/>
  <c r="N125" i="65"/>
  <c r="N126" i="65"/>
  <c r="N127" i="65"/>
  <c r="N132" i="65"/>
  <c r="N138" i="65"/>
  <c r="N139" i="65"/>
  <c r="N117" i="65"/>
  <c r="N9" i="65"/>
  <c r="U5" i="65"/>
  <c r="U6" i="65"/>
  <c r="U7" i="65"/>
  <c r="U13" i="65"/>
  <c r="AB8" i="65"/>
  <c r="AB13" i="65"/>
  <c r="N10" i="65"/>
  <c r="N44" i="65"/>
  <c r="N45" i="65"/>
  <c r="N46" i="65"/>
  <c r="N47" i="65"/>
  <c r="N48" i="65"/>
  <c r="N49" i="65"/>
  <c r="N51" i="65"/>
  <c r="N52" i="65"/>
  <c r="N53" i="65"/>
  <c r="N54" i="65"/>
  <c r="N55" i="65"/>
  <c r="N56" i="65"/>
  <c r="N57" i="65"/>
  <c r="N58" i="65"/>
  <c r="N59" i="65"/>
  <c r="AG51" i="55"/>
  <c r="N63" i="65"/>
  <c r="AG53" i="55"/>
  <c r="AG53" i="66"/>
  <c r="AG53" i="63"/>
  <c r="AG5" i="57"/>
  <c r="N65" i="65"/>
  <c r="N66" i="65"/>
  <c r="AG55" i="66"/>
  <c r="AG55" i="63"/>
  <c r="AG55" i="55"/>
  <c r="AG7" i="57"/>
  <c r="N67" i="65"/>
  <c r="EA33" i="40"/>
  <c r="EA16" i="40"/>
  <c r="EB33" i="40"/>
  <c r="EB16" i="40"/>
  <c r="EC33" i="40"/>
  <c r="EC16" i="40"/>
  <c r="ED33" i="40"/>
  <c r="ED16" i="40"/>
  <c r="EE33" i="40"/>
  <c r="EE16" i="40"/>
  <c r="EF33" i="40"/>
  <c r="EF16" i="40"/>
  <c r="EG33" i="40"/>
  <c r="EG16" i="40"/>
  <c r="EH33" i="40"/>
  <c r="EH16" i="40"/>
  <c r="EI33" i="40"/>
  <c r="EI16" i="40"/>
  <c r="EJ33" i="40"/>
  <c r="EJ16" i="40"/>
  <c r="EK33" i="40"/>
  <c r="EK16" i="40"/>
  <c r="EL33" i="40"/>
  <c r="EL16" i="40"/>
  <c r="N68" i="65"/>
  <c r="N69" i="65"/>
  <c r="N70" i="65"/>
  <c r="N71" i="65"/>
  <c r="AG60" i="55"/>
  <c r="AG60" i="66"/>
  <c r="AG60" i="63"/>
  <c r="AG12" i="57"/>
  <c r="N72" i="65"/>
  <c r="N73" i="65"/>
  <c r="N75" i="65"/>
  <c r="N11" i="65"/>
  <c r="N13" i="65"/>
  <c r="N87" i="65"/>
  <c r="N88" i="65"/>
  <c r="N89" i="65"/>
  <c r="N90" i="65"/>
  <c r="N91" i="65"/>
  <c r="N92" i="65"/>
  <c r="N93" i="65"/>
  <c r="N94" i="65"/>
  <c r="N76" i="65"/>
  <c r="N95" i="65"/>
  <c r="N79" i="65"/>
  <c r="N96" i="65"/>
  <c r="N97" i="65"/>
  <c r="N99" i="65"/>
  <c r="N100" i="65"/>
  <c r="N105" i="65"/>
  <c r="N109" i="65"/>
  <c r="N80" i="65"/>
  <c r="N114" i="65"/>
  <c r="N115" i="65"/>
  <c r="N116" i="65"/>
  <c r="N118" i="65"/>
  <c r="N140" i="65"/>
  <c r="N141" i="65"/>
  <c r="N142" i="65"/>
  <c r="N143" i="65"/>
  <c r="N144" i="65"/>
  <c r="N145" i="65"/>
  <c r="N146" i="65"/>
  <c r="N147" i="65"/>
  <c r="N148" i="65"/>
  <c r="N149" i="65"/>
  <c r="N150" i="65"/>
  <c r="N151" i="65"/>
  <c r="N152" i="65"/>
  <c r="N153" i="65"/>
  <c r="N154" i="65"/>
  <c r="N156" i="65"/>
  <c r="N157" i="65"/>
  <c r="N158" i="65"/>
  <c r="N159" i="65"/>
  <c r="S14" i="80"/>
  <c r="T14" i="80"/>
  <c r="U14" i="80"/>
  <c r="V14" i="80"/>
  <c r="W14" i="80"/>
  <c r="X14" i="80"/>
  <c r="Y14" i="80"/>
  <c r="Z14" i="80"/>
  <c r="AA14" i="80"/>
  <c r="AB14" i="80"/>
  <c r="AC14" i="80"/>
  <c r="AD14" i="80"/>
  <c r="N161" i="65"/>
  <c r="N162" i="65"/>
  <c r="N163" i="65"/>
  <c r="N165" i="65"/>
  <c r="N167" i="65"/>
  <c r="N168" i="65"/>
  <c r="N170" i="65"/>
  <c r="N17" i="65"/>
  <c r="N24" i="65"/>
  <c r="N29" i="65"/>
  <c r="N35" i="65"/>
  <c r="N77" i="65"/>
  <c r="N81" i="65"/>
  <c r="O128" i="65"/>
  <c r="O129" i="65"/>
  <c r="O130" i="65"/>
  <c r="O131" i="65"/>
  <c r="O121" i="65"/>
  <c r="O122" i="65"/>
  <c r="O123" i="65"/>
  <c r="O124" i="65"/>
  <c r="O125" i="65"/>
  <c r="O126" i="65"/>
  <c r="O127" i="65"/>
  <c r="O132" i="65"/>
  <c r="O133" i="65"/>
  <c r="O134" i="65"/>
  <c r="O135" i="65"/>
  <c r="O136" i="65"/>
  <c r="O137" i="65"/>
  <c r="O138" i="65"/>
  <c r="O117" i="65"/>
  <c r="O5" i="65"/>
  <c r="O6" i="65"/>
  <c r="O7" i="65"/>
  <c r="O9" i="65"/>
  <c r="V5" i="65"/>
  <c r="V6" i="65"/>
  <c r="V7" i="65"/>
  <c r="V9" i="65"/>
  <c r="V13" i="65"/>
  <c r="AC5" i="65"/>
  <c r="AC6" i="65"/>
  <c r="AC7" i="65"/>
  <c r="AC8" i="65"/>
  <c r="AC9" i="65"/>
  <c r="AC13" i="65"/>
  <c r="O10" i="65"/>
  <c r="O45" i="65"/>
  <c r="O46" i="65"/>
  <c r="O47" i="65"/>
  <c r="O48" i="65"/>
  <c r="O49" i="65"/>
  <c r="O51" i="65"/>
  <c r="O52" i="65"/>
  <c r="O53" i="65"/>
  <c r="O54" i="65"/>
  <c r="O55" i="65"/>
  <c r="O56" i="65"/>
  <c r="O57" i="65"/>
  <c r="O58" i="65"/>
  <c r="O59" i="65"/>
  <c r="O61" i="65"/>
  <c r="O65" i="65"/>
  <c r="O66" i="65"/>
  <c r="O67" i="65"/>
  <c r="O68" i="65"/>
  <c r="O69" i="65"/>
  <c r="O70" i="65"/>
  <c r="O71" i="65"/>
  <c r="O72" i="65"/>
  <c r="O73" i="65"/>
  <c r="O11" i="65"/>
  <c r="O13" i="65"/>
  <c r="O87" i="65"/>
  <c r="O21" i="65"/>
  <c r="O88" i="65"/>
  <c r="O16" i="65"/>
  <c r="O23" i="65"/>
  <c r="O89" i="65"/>
  <c r="N38" i="65"/>
  <c r="O38" i="65"/>
  <c r="O32" i="65"/>
  <c r="O27" i="65"/>
  <c r="O90" i="65"/>
  <c r="N39" i="65"/>
  <c r="O39" i="65"/>
  <c r="O33" i="65"/>
  <c r="O28" i="65"/>
  <c r="O91" i="65"/>
  <c r="O15" i="65"/>
  <c r="O22" i="65"/>
  <c r="O92" i="65"/>
  <c r="O93" i="65"/>
  <c r="O94" i="65"/>
  <c r="O95" i="65"/>
  <c r="O79" i="65"/>
  <c r="O96" i="65"/>
  <c r="O97" i="65"/>
  <c r="AB17" i="65"/>
  <c r="AB24" i="65"/>
  <c r="AB28" i="65"/>
  <c r="AB29" i="65"/>
  <c r="AB35" i="65"/>
  <c r="AB51" i="65"/>
  <c r="AB52" i="65"/>
  <c r="AB53" i="65"/>
  <c r="AB54" i="65"/>
  <c r="AB55" i="65"/>
  <c r="AB56" i="65"/>
  <c r="AB57" i="65"/>
  <c r="AB58" i="65"/>
  <c r="AB59" i="65"/>
  <c r="AB44" i="65"/>
  <c r="AB45" i="65"/>
  <c r="AB46" i="65"/>
  <c r="AB47" i="65"/>
  <c r="AB48" i="65"/>
  <c r="AB49" i="65"/>
  <c r="AB61" i="65"/>
  <c r="AB62" i="65"/>
  <c r="AB63" i="65"/>
  <c r="AB64" i="65"/>
  <c r="AB65" i="65"/>
  <c r="AB66" i="65"/>
  <c r="AB67" i="65"/>
  <c r="AB68" i="65"/>
  <c r="AB69" i="65"/>
  <c r="AB70" i="65"/>
  <c r="AB72" i="65"/>
  <c r="AB73" i="65"/>
  <c r="AB76" i="65"/>
  <c r="AT13" i="65"/>
  <c r="AU13" i="65"/>
  <c r="AV13" i="65"/>
  <c r="AB75" i="65"/>
  <c r="AB77" i="65"/>
  <c r="AB79" i="65"/>
  <c r="AB80" i="65"/>
  <c r="AB81" i="65"/>
  <c r="O100" i="65"/>
  <c r="O104" i="65"/>
  <c r="O105" i="65"/>
  <c r="O107" i="65"/>
  <c r="O115" i="65"/>
  <c r="O142" i="65"/>
  <c r="O143" i="65"/>
  <c r="O144" i="65"/>
  <c r="O145" i="65"/>
  <c r="O146" i="65"/>
  <c r="O147" i="65"/>
  <c r="O148" i="65"/>
  <c r="O149" i="65"/>
  <c r="O150" i="65"/>
  <c r="O151" i="65"/>
  <c r="O152" i="65"/>
  <c r="O156" i="65"/>
  <c r="O157" i="65"/>
  <c r="O158" i="65"/>
  <c r="O159" i="65"/>
  <c r="O17" i="65"/>
  <c r="O24" i="65"/>
  <c r="O29" i="65"/>
  <c r="O35" i="65"/>
  <c r="O77" i="65"/>
  <c r="O81" i="65"/>
  <c r="O82" i="65"/>
  <c r="O161" i="65"/>
  <c r="O162" i="65"/>
  <c r="O163" i="65"/>
  <c r="O165" i="65"/>
  <c r="O167" i="65"/>
  <c r="O168" i="65"/>
  <c r="O170" i="65"/>
  <c r="O83" i="65"/>
  <c r="O171" i="65"/>
  <c r="P128" i="65"/>
  <c r="P129" i="65"/>
  <c r="P130" i="65"/>
  <c r="P131" i="65"/>
  <c r="P121" i="65"/>
  <c r="P122" i="65"/>
  <c r="P123" i="65"/>
  <c r="P124" i="65"/>
  <c r="P125" i="65"/>
  <c r="P126" i="65"/>
  <c r="P127" i="65"/>
  <c r="P132" i="65"/>
  <c r="P133" i="65"/>
  <c r="P134" i="65"/>
  <c r="P135" i="65"/>
  <c r="P136" i="65"/>
  <c r="P137" i="65"/>
  <c r="P138" i="65"/>
  <c r="P5" i="65"/>
  <c r="P6" i="65"/>
  <c r="P7" i="65"/>
  <c r="P9" i="65"/>
  <c r="W5" i="65"/>
  <c r="W6" i="65"/>
  <c r="W7" i="65"/>
  <c r="W9" i="65"/>
  <c r="W13" i="65"/>
  <c r="AD5" i="65"/>
  <c r="AD6" i="65"/>
  <c r="AD7" i="65"/>
  <c r="AD8" i="65"/>
  <c r="AD9" i="65"/>
  <c r="AD13" i="65"/>
  <c r="P10" i="65"/>
  <c r="P44" i="65"/>
  <c r="P45" i="65"/>
  <c r="P46" i="65"/>
  <c r="P47" i="65"/>
  <c r="P48" i="65"/>
  <c r="P49" i="65"/>
  <c r="P51" i="65"/>
  <c r="P52" i="65"/>
  <c r="P53" i="65"/>
  <c r="P54" i="65"/>
  <c r="P55" i="65"/>
  <c r="P56" i="65"/>
  <c r="P57" i="65"/>
  <c r="P58" i="65"/>
  <c r="P59" i="65"/>
  <c r="P61" i="65"/>
  <c r="P65" i="65"/>
  <c r="P66" i="65"/>
  <c r="P67" i="65"/>
  <c r="P68" i="65"/>
  <c r="P69" i="65"/>
  <c r="P70" i="65"/>
  <c r="P71" i="65"/>
  <c r="P72" i="65"/>
  <c r="P73" i="65"/>
  <c r="P11" i="65"/>
  <c r="P13" i="65"/>
  <c r="P87" i="65"/>
  <c r="P14" i="65"/>
  <c r="P21" i="65"/>
  <c r="P88" i="65"/>
  <c r="P16" i="65"/>
  <c r="P23" i="65"/>
  <c r="P89" i="65"/>
  <c r="P38" i="65"/>
  <c r="P32" i="65"/>
  <c r="P27" i="65"/>
  <c r="P90" i="65"/>
  <c r="P39" i="65"/>
  <c r="P33" i="65"/>
  <c r="P28" i="65"/>
  <c r="P91" i="65"/>
  <c r="P15" i="65"/>
  <c r="P22" i="65"/>
  <c r="P92" i="65"/>
  <c r="P93" i="65"/>
  <c r="P94" i="65"/>
  <c r="P95" i="65"/>
  <c r="P79" i="65"/>
  <c r="P96" i="65"/>
  <c r="P97" i="65"/>
  <c r="AC14" i="65"/>
  <c r="AC15" i="65"/>
  <c r="AC16" i="65"/>
  <c r="AC17" i="65"/>
  <c r="AC21" i="65"/>
  <c r="AC22" i="65"/>
  <c r="AC23" i="65"/>
  <c r="AC24" i="65"/>
  <c r="AB38" i="65"/>
  <c r="AC38" i="65"/>
  <c r="AC32" i="65"/>
  <c r="AC27" i="65"/>
  <c r="AB33" i="65"/>
  <c r="AB39" i="65"/>
  <c r="AC39" i="65"/>
  <c r="AC33" i="65"/>
  <c r="AC28" i="65"/>
  <c r="AC29" i="65"/>
  <c r="AC35" i="65"/>
  <c r="AC51" i="65"/>
  <c r="AC52" i="65"/>
  <c r="AC53" i="65"/>
  <c r="AC54" i="65"/>
  <c r="AC55" i="65"/>
  <c r="AC56" i="65"/>
  <c r="AC57" i="65"/>
  <c r="AC58" i="65"/>
  <c r="AC59" i="65"/>
  <c r="AC44" i="65"/>
  <c r="AC45" i="65"/>
  <c r="AC46" i="65"/>
  <c r="AC47" i="65"/>
  <c r="AC48" i="65"/>
  <c r="AC49" i="65"/>
  <c r="AC61" i="65"/>
  <c r="AC63" i="65"/>
  <c r="AC65" i="65"/>
  <c r="AC66" i="65"/>
  <c r="AC67" i="65"/>
  <c r="AC68" i="65"/>
  <c r="AC69" i="65"/>
  <c r="AC70" i="65"/>
  <c r="AC71" i="65"/>
  <c r="AC72" i="65"/>
  <c r="AC73" i="65"/>
  <c r="AC75" i="65"/>
  <c r="AC77" i="65"/>
  <c r="AC79" i="65"/>
  <c r="AC81" i="65"/>
  <c r="AC82" i="65"/>
  <c r="AD98" i="65"/>
  <c r="P98" i="65"/>
  <c r="P99" i="65"/>
  <c r="P100" i="65"/>
  <c r="P105" i="65"/>
  <c r="P107" i="65"/>
  <c r="P114" i="65"/>
  <c r="P115" i="65"/>
  <c r="P116" i="65"/>
  <c r="P142" i="65"/>
  <c r="P143" i="65"/>
  <c r="P144" i="65"/>
  <c r="P145" i="65"/>
  <c r="P146" i="65"/>
  <c r="P147" i="65"/>
  <c r="P148" i="65"/>
  <c r="P149" i="65"/>
  <c r="P150" i="65"/>
  <c r="P151" i="65"/>
  <c r="P152" i="65"/>
  <c r="P156" i="65"/>
  <c r="P157" i="65"/>
  <c r="P158" i="65"/>
  <c r="P159" i="65"/>
  <c r="P17" i="65"/>
  <c r="P24" i="65"/>
  <c r="P29" i="65"/>
  <c r="P35" i="65"/>
  <c r="P77" i="65"/>
  <c r="P81" i="65"/>
  <c r="P82" i="65"/>
  <c r="P161" i="65"/>
  <c r="P162" i="65"/>
  <c r="P163" i="65"/>
  <c r="P165" i="65"/>
  <c r="P167" i="65"/>
  <c r="P168" i="65"/>
  <c r="P170" i="65"/>
  <c r="P83" i="65"/>
  <c r="P171" i="65"/>
  <c r="Q128" i="65"/>
  <c r="Q129" i="65"/>
  <c r="Q130" i="65"/>
  <c r="Q131" i="65"/>
  <c r="Q121" i="65"/>
  <c r="Q122" i="65"/>
  <c r="Q123" i="65"/>
  <c r="Q124" i="65"/>
  <c r="Q125" i="65"/>
  <c r="Q126" i="65"/>
  <c r="Q127" i="65"/>
  <c r="Q132" i="65"/>
  <c r="Q133" i="65"/>
  <c r="Q134" i="65"/>
  <c r="Q135" i="65"/>
  <c r="Q136" i="65"/>
  <c r="Q137" i="65"/>
  <c r="Q138" i="65"/>
  <c r="Q5" i="65"/>
  <c r="Q6" i="65"/>
  <c r="Q7" i="65"/>
  <c r="Q9" i="65"/>
  <c r="X5" i="65"/>
  <c r="X6" i="65"/>
  <c r="X7" i="65"/>
  <c r="X9" i="65"/>
  <c r="X13" i="65"/>
  <c r="AE5" i="65"/>
  <c r="AE6" i="65"/>
  <c r="AE7" i="65"/>
  <c r="AE8" i="65"/>
  <c r="AE9" i="65"/>
  <c r="AE13" i="65"/>
  <c r="Q10" i="65"/>
  <c r="Q44" i="65"/>
  <c r="Q45" i="65"/>
  <c r="Q46" i="65"/>
  <c r="Q47" i="65"/>
  <c r="Q48" i="65"/>
  <c r="Q49" i="65"/>
  <c r="Q51" i="65"/>
  <c r="Q52" i="65"/>
  <c r="Q53" i="65"/>
  <c r="Q54" i="65"/>
  <c r="Q55" i="65"/>
  <c r="Q56" i="65"/>
  <c r="Q57" i="65"/>
  <c r="Q58" i="65"/>
  <c r="Q59" i="65"/>
  <c r="Q61" i="65"/>
  <c r="Q65" i="65"/>
  <c r="Q66" i="65"/>
  <c r="Q67" i="65"/>
  <c r="Q68" i="65"/>
  <c r="Q69" i="65"/>
  <c r="Q70" i="65"/>
  <c r="Q71" i="65"/>
  <c r="Q72" i="65"/>
  <c r="Q73" i="65"/>
  <c r="Q11" i="65"/>
  <c r="Q13" i="65"/>
  <c r="Q87" i="65"/>
  <c r="Q14" i="65"/>
  <c r="Q21" i="65"/>
  <c r="Q88" i="65"/>
  <c r="Q16" i="65"/>
  <c r="Q23" i="65"/>
  <c r="Q89" i="65"/>
  <c r="Q38" i="65"/>
  <c r="Q32" i="65"/>
  <c r="Q27" i="65"/>
  <c r="Q90" i="65"/>
  <c r="Q39" i="65"/>
  <c r="Q33" i="65"/>
  <c r="Q28" i="65"/>
  <c r="Q91" i="65"/>
  <c r="Q15" i="65"/>
  <c r="Q22" i="65"/>
  <c r="Q92" i="65"/>
  <c r="Q93" i="65"/>
  <c r="Q94" i="65"/>
  <c r="Q95" i="65"/>
  <c r="Q79" i="65"/>
  <c r="Q96" i="65"/>
  <c r="Q97" i="65"/>
  <c r="AD14" i="65"/>
  <c r="AD15" i="65"/>
  <c r="AD16" i="65"/>
  <c r="AD17" i="65"/>
  <c r="AD21" i="65"/>
  <c r="AD22" i="65"/>
  <c r="AD23" i="65"/>
  <c r="AD24" i="65"/>
  <c r="AD38" i="65"/>
  <c r="AD32" i="65"/>
  <c r="AD27" i="65"/>
  <c r="AD39" i="65"/>
  <c r="AD33" i="65"/>
  <c r="AD28" i="65"/>
  <c r="AD29" i="65"/>
  <c r="AD35" i="65"/>
  <c r="AD51" i="65"/>
  <c r="AD52" i="65"/>
  <c r="AD53" i="65"/>
  <c r="AD54" i="65"/>
  <c r="AD55" i="65"/>
  <c r="AD56" i="65"/>
  <c r="AD57" i="65"/>
  <c r="AD58" i="65"/>
  <c r="AD59" i="65"/>
  <c r="AD44" i="65"/>
  <c r="AD45" i="65"/>
  <c r="AD46" i="65"/>
  <c r="AD47" i="65"/>
  <c r="AD48" i="65"/>
  <c r="AD49" i="65"/>
  <c r="AD61" i="65"/>
  <c r="AD63" i="65"/>
  <c r="AD65" i="65"/>
  <c r="AD66" i="65"/>
  <c r="AD67" i="65"/>
  <c r="AD68" i="65"/>
  <c r="AD69" i="65"/>
  <c r="AD70" i="65"/>
  <c r="AD71" i="65"/>
  <c r="AD72" i="65"/>
  <c r="AD73" i="65"/>
  <c r="AD75" i="65"/>
  <c r="AD77" i="65"/>
  <c r="AD79" i="65"/>
  <c r="AD81" i="65"/>
  <c r="AD82" i="65"/>
  <c r="AE98" i="65"/>
  <c r="Q98" i="65"/>
  <c r="Q99" i="65"/>
  <c r="Q100" i="65"/>
  <c r="Q105" i="65"/>
  <c r="Q107" i="65"/>
  <c r="Q114" i="65"/>
  <c r="Q115" i="65"/>
  <c r="Q116" i="65"/>
  <c r="Q142" i="65"/>
  <c r="Q143" i="65"/>
  <c r="Q144" i="65"/>
  <c r="Q145" i="65"/>
  <c r="Q146" i="65"/>
  <c r="Q147" i="65"/>
  <c r="Q148" i="65"/>
  <c r="Q149" i="65"/>
  <c r="Q150" i="65"/>
  <c r="Q151" i="65"/>
  <c r="Q152" i="65"/>
  <c r="Q156" i="65"/>
  <c r="Q157" i="65"/>
  <c r="Q158" i="65"/>
  <c r="Q159" i="65"/>
  <c r="Q17" i="65"/>
  <c r="Q24" i="65"/>
  <c r="Q29" i="65"/>
  <c r="Q35" i="65"/>
  <c r="Q77" i="65"/>
  <c r="Q81" i="65"/>
  <c r="Q82" i="65"/>
  <c r="Q161" i="65"/>
  <c r="Q162" i="65"/>
  <c r="Q163" i="65"/>
  <c r="Q165" i="65"/>
  <c r="Q167" i="65"/>
  <c r="Q168" i="65"/>
  <c r="Q170" i="65"/>
  <c r="Q83" i="65"/>
  <c r="Q171" i="65"/>
  <c r="R128" i="65"/>
  <c r="R129" i="65"/>
  <c r="R130" i="65"/>
  <c r="R131" i="65"/>
  <c r="R121" i="65"/>
  <c r="R122" i="65"/>
  <c r="R123" i="65"/>
  <c r="R124" i="65"/>
  <c r="R125" i="65"/>
  <c r="R126" i="65"/>
  <c r="R127" i="65"/>
  <c r="R132" i="65"/>
  <c r="R133" i="65"/>
  <c r="R134" i="65"/>
  <c r="R135" i="65"/>
  <c r="R136" i="65"/>
  <c r="R137" i="65"/>
  <c r="R138" i="65"/>
  <c r="R5" i="65"/>
  <c r="R6" i="65"/>
  <c r="R7" i="65"/>
  <c r="R9" i="65"/>
  <c r="Y5" i="65"/>
  <c r="Y6" i="65"/>
  <c r="Y7" i="65"/>
  <c r="Y9" i="65"/>
  <c r="Y13" i="65"/>
  <c r="AF5" i="65"/>
  <c r="AF6" i="65"/>
  <c r="AF7" i="65"/>
  <c r="AF8" i="65"/>
  <c r="AF9" i="65"/>
  <c r="AF13" i="65"/>
  <c r="R10" i="65"/>
  <c r="R44" i="65"/>
  <c r="R45" i="65"/>
  <c r="R46" i="65"/>
  <c r="R47" i="65"/>
  <c r="R48" i="65"/>
  <c r="R49" i="65"/>
  <c r="R51" i="65"/>
  <c r="R52" i="65"/>
  <c r="R53" i="65"/>
  <c r="R54" i="65"/>
  <c r="R55" i="65"/>
  <c r="R56" i="65"/>
  <c r="R57" i="65"/>
  <c r="R58" i="65"/>
  <c r="R59" i="65"/>
  <c r="R61" i="65"/>
  <c r="R65" i="65"/>
  <c r="R66" i="65"/>
  <c r="R67" i="65"/>
  <c r="R68" i="65"/>
  <c r="R69" i="65"/>
  <c r="R70" i="65"/>
  <c r="R71" i="65"/>
  <c r="R72" i="65"/>
  <c r="R73" i="65"/>
  <c r="R11" i="65"/>
  <c r="R13" i="65"/>
  <c r="R87" i="65"/>
  <c r="R14" i="65"/>
  <c r="R21" i="65"/>
  <c r="R88" i="65"/>
  <c r="R16" i="65"/>
  <c r="R23" i="65"/>
  <c r="R89" i="65"/>
  <c r="R38" i="65"/>
  <c r="R32" i="65"/>
  <c r="R27" i="65"/>
  <c r="R90" i="65"/>
  <c r="R39" i="65"/>
  <c r="R33" i="65"/>
  <c r="R28" i="65"/>
  <c r="R91" i="65"/>
  <c r="R15" i="65"/>
  <c r="R22" i="65"/>
  <c r="R92" i="65"/>
  <c r="R93" i="65"/>
  <c r="R94" i="65"/>
  <c r="R95" i="65"/>
  <c r="R79" i="65"/>
  <c r="R96" i="65"/>
  <c r="R97" i="65"/>
  <c r="AE14" i="65"/>
  <c r="AE15" i="65"/>
  <c r="AE16" i="65"/>
  <c r="AE17" i="65"/>
  <c r="AE21" i="65"/>
  <c r="AE22" i="65"/>
  <c r="AE23" i="65"/>
  <c r="AE24" i="65"/>
  <c r="AE38" i="65"/>
  <c r="AE32" i="65"/>
  <c r="AE27" i="65"/>
  <c r="AE39" i="65"/>
  <c r="AE33" i="65"/>
  <c r="AE28" i="65"/>
  <c r="AE29" i="65"/>
  <c r="AE35" i="65"/>
  <c r="AE51" i="65"/>
  <c r="AE52" i="65"/>
  <c r="AE53" i="65"/>
  <c r="AE54" i="65"/>
  <c r="AE55" i="65"/>
  <c r="AE56" i="65"/>
  <c r="AE57" i="65"/>
  <c r="AE58" i="65"/>
  <c r="AE59" i="65"/>
  <c r="AE44" i="65"/>
  <c r="AE45" i="65"/>
  <c r="AE46" i="65"/>
  <c r="AE47" i="65"/>
  <c r="AE48" i="65"/>
  <c r="AE49" i="65"/>
  <c r="AE61" i="65"/>
  <c r="AE63" i="65"/>
  <c r="AE65" i="65"/>
  <c r="AE66" i="65"/>
  <c r="AE67" i="65"/>
  <c r="AE68" i="65"/>
  <c r="AE69" i="65"/>
  <c r="AE70" i="65"/>
  <c r="AE71" i="65"/>
  <c r="AE72" i="65"/>
  <c r="AE73" i="65"/>
  <c r="AE75" i="65"/>
  <c r="AE77" i="65"/>
  <c r="AE79" i="65"/>
  <c r="AE81" i="65"/>
  <c r="AE82" i="65"/>
  <c r="AF98" i="65"/>
  <c r="R98" i="65"/>
  <c r="R99" i="65"/>
  <c r="R100" i="65"/>
  <c r="R105" i="65"/>
  <c r="R107" i="65"/>
  <c r="R114" i="65"/>
  <c r="R115" i="65"/>
  <c r="R116" i="65"/>
  <c r="R142" i="65"/>
  <c r="R143" i="65"/>
  <c r="R144" i="65"/>
  <c r="R145" i="65"/>
  <c r="R146" i="65"/>
  <c r="R147" i="65"/>
  <c r="R148" i="65"/>
  <c r="R149" i="65"/>
  <c r="R150" i="65"/>
  <c r="R151" i="65"/>
  <c r="R152" i="65"/>
  <c r="R156" i="65"/>
  <c r="R157" i="65"/>
  <c r="R158" i="65"/>
  <c r="R159" i="65"/>
  <c r="R17" i="65"/>
  <c r="R24" i="65"/>
  <c r="R29" i="65"/>
  <c r="R35" i="65"/>
  <c r="R77" i="65"/>
  <c r="R81" i="65"/>
  <c r="R82" i="65"/>
  <c r="R161" i="65"/>
  <c r="R162" i="65"/>
  <c r="R163" i="65"/>
  <c r="R165" i="65"/>
  <c r="R167" i="65"/>
  <c r="R168" i="65"/>
  <c r="R170" i="65"/>
  <c r="R83" i="65"/>
  <c r="R171" i="65"/>
  <c r="U131" i="65"/>
  <c r="U127" i="65"/>
  <c r="U132" i="65"/>
  <c r="U133" i="65"/>
  <c r="U134" i="65"/>
  <c r="U135" i="65"/>
  <c r="U137" i="65"/>
  <c r="U138" i="65"/>
  <c r="U87" i="65"/>
  <c r="U14" i="65"/>
  <c r="U21" i="65"/>
  <c r="U88" i="65"/>
  <c r="U16" i="65"/>
  <c r="U23" i="65"/>
  <c r="U89" i="65"/>
  <c r="U27" i="65"/>
  <c r="U90" i="65"/>
  <c r="U91" i="65"/>
  <c r="U15" i="65"/>
  <c r="U22" i="65"/>
  <c r="U65" i="65"/>
  <c r="U92" i="65"/>
  <c r="U44" i="65"/>
  <c r="U45" i="65"/>
  <c r="U46" i="65"/>
  <c r="U47" i="65"/>
  <c r="U93" i="65"/>
  <c r="U51" i="65"/>
  <c r="U52" i="65"/>
  <c r="U53" i="65"/>
  <c r="U54" i="65"/>
  <c r="U55" i="65"/>
  <c r="U56" i="65"/>
  <c r="U57" i="65"/>
  <c r="U94" i="65"/>
  <c r="U61" i="65"/>
  <c r="U63" i="65"/>
  <c r="U66" i="65"/>
  <c r="U67" i="65"/>
  <c r="U68" i="65"/>
  <c r="U69" i="65"/>
  <c r="U70" i="65"/>
  <c r="U72" i="65"/>
  <c r="U75" i="65"/>
  <c r="U76" i="65"/>
  <c r="U95" i="65"/>
  <c r="U79" i="65"/>
  <c r="U96" i="65"/>
  <c r="U97" i="65"/>
  <c r="U99" i="65"/>
  <c r="U105" i="65"/>
  <c r="U80" i="65"/>
  <c r="U114" i="65"/>
  <c r="U115" i="65"/>
  <c r="U116" i="65"/>
  <c r="U118" i="65"/>
  <c r="U140" i="65"/>
  <c r="U141" i="65"/>
  <c r="U149" i="65"/>
  <c r="U152" i="65"/>
  <c r="U153" i="65"/>
  <c r="U154" i="65"/>
  <c r="U164" i="65"/>
  <c r="U166" i="65"/>
  <c r="U17" i="65"/>
  <c r="U24" i="65"/>
  <c r="U29" i="65"/>
  <c r="U35" i="65"/>
  <c r="U58" i="65"/>
  <c r="U59" i="65"/>
  <c r="U48" i="65"/>
  <c r="U49" i="65"/>
  <c r="U62" i="65"/>
  <c r="U64" i="65"/>
  <c r="U73" i="65"/>
  <c r="U77" i="65"/>
  <c r="U81" i="65"/>
  <c r="V128" i="65"/>
  <c r="V129" i="65"/>
  <c r="V130" i="65"/>
  <c r="V131" i="65"/>
  <c r="V121" i="65"/>
  <c r="V122" i="65"/>
  <c r="V123" i="65"/>
  <c r="V124" i="65"/>
  <c r="V125" i="65"/>
  <c r="V126" i="65"/>
  <c r="V127" i="65"/>
  <c r="V132" i="65"/>
  <c r="V133" i="65"/>
  <c r="V134" i="65"/>
  <c r="V135" i="65"/>
  <c r="V136" i="65"/>
  <c r="V137" i="65"/>
  <c r="V138" i="65"/>
  <c r="V117" i="65"/>
  <c r="V87" i="65"/>
  <c r="V14" i="65"/>
  <c r="V21" i="65"/>
  <c r="V88" i="65"/>
  <c r="V16" i="65"/>
  <c r="V23" i="65"/>
  <c r="V89" i="65"/>
  <c r="U32" i="65"/>
  <c r="U38" i="65"/>
  <c r="V38" i="65"/>
  <c r="V32" i="65"/>
  <c r="V27" i="65"/>
  <c r="V90" i="65"/>
  <c r="U39" i="65"/>
  <c r="V39" i="65"/>
  <c r="V33" i="65"/>
  <c r="V28" i="65"/>
  <c r="V91" i="65"/>
  <c r="V15" i="65"/>
  <c r="V22" i="65"/>
  <c r="V65" i="65"/>
  <c r="V92" i="65"/>
  <c r="V44" i="65"/>
  <c r="V45" i="65"/>
  <c r="V46" i="65"/>
  <c r="V47" i="65"/>
  <c r="V93" i="65"/>
  <c r="V51" i="65"/>
  <c r="V52" i="65"/>
  <c r="V53" i="65"/>
  <c r="V54" i="65"/>
  <c r="V55" i="65"/>
  <c r="V56" i="65"/>
  <c r="V57" i="65"/>
  <c r="V94" i="65"/>
  <c r="V61" i="65"/>
  <c r="V63" i="65"/>
  <c r="V66" i="65"/>
  <c r="V67" i="65"/>
  <c r="V68" i="65"/>
  <c r="V69" i="65"/>
  <c r="V70" i="65"/>
  <c r="V72" i="65"/>
  <c r="V75" i="65"/>
  <c r="V95" i="65"/>
  <c r="V79" i="65"/>
  <c r="V96" i="65"/>
  <c r="V97" i="65"/>
  <c r="V98" i="65"/>
  <c r="V99" i="65"/>
  <c r="V100" i="65"/>
  <c r="V104" i="65"/>
  <c r="V105" i="65"/>
  <c r="V107" i="65"/>
  <c r="V115" i="65"/>
  <c r="V116" i="65"/>
  <c r="V118" i="65"/>
  <c r="V140" i="65"/>
  <c r="V141" i="65"/>
  <c r="V142" i="65"/>
  <c r="V143" i="65"/>
  <c r="V144" i="65"/>
  <c r="V145" i="65"/>
  <c r="V146" i="65"/>
  <c r="V147" i="65"/>
  <c r="V148" i="65"/>
  <c r="V149" i="65"/>
  <c r="V150" i="65"/>
  <c r="V151" i="65"/>
  <c r="V152" i="65"/>
  <c r="V153" i="65"/>
  <c r="V154" i="65"/>
  <c r="V156" i="65"/>
  <c r="V157" i="65"/>
  <c r="V158" i="65"/>
  <c r="V159" i="65"/>
  <c r="V17" i="65"/>
  <c r="V24" i="65"/>
  <c r="V29" i="65"/>
  <c r="V35" i="65"/>
  <c r="V58" i="65"/>
  <c r="V59" i="65"/>
  <c r="V48" i="65"/>
  <c r="V49" i="65"/>
  <c r="V71" i="65"/>
  <c r="V73" i="65"/>
  <c r="V77" i="65"/>
  <c r="V81" i="65"/>
  <c r="V82" i="65"/>
  <c r="V161" i="65"/>
  <c r="V162" i="65"/>
  <c r="V163" i="65"/>
  <c r="V165" i="65"/>
  <c r="V167" i="65"/>
  <c r="V168" i="65"/>
  <c r="V170" i="65"/>
  <c r="V83" i="65"/>
  <c r="V171" i="65"/>
  <c r="W128" i="65"/>
  <c r="W129" i="65"/>
  <c r="W130" i="65"/>
  <c r="W131" i="65"/>
  <c r="W121" i="65"/>
  <c r="W122" i="65"/>
  <c r="W123" i="65"/>
  <c r="W124" i="65"/>
  <c r="W125" i="65"/>
  <c r="W126" i="65"/>
  <c r="W127" i="65"/>
  <c r="W132" i="65"/>
  <c r="W133" i="65"/>
  <c r="W134" i="65"/>
  <c r="W135" i="65"/>
  <c r="W136" i="65"/>
  <c r="W137" i="65"/>
  <c r="W138" i="65"/>
  <c r="W117" i="65"/>
  <c r="W87" i="65"/>
  <c r="W14" i="65"/>
  <c r="W21" i="65"/>
  <c r="W88" i="65"/>
  <c r="W16" i="65"/>
  <c r="W23" i="65"/>
  <c r="W89" i="65"/>
  <c r="W38" i="65"/>
  <c r="W32" i="65"/>
  <c r="W27" i="65"/>
  <c r="W90" i="65"/>
  <c r="W39" i="65"/>
  <c r="W33" i="65"/>
  <c r="W28" i="65"/>
  <c r="W91" i="65"/>
  <c r="W15" i="65"/>
  <c r="W22" i="65"/>
  <c r="W65" i="65"/>
  <c r="W92" i="65"/>
  <c r="W44" i="65"/>
  <c r="W45" i="65"/>
  <c r="W46" i="65"/>
  <c r="W47" i="65"/>
  <c r="W93" i="65"/>
  <c r="W51" i="65"/>
  <c r="W52" i="65"/>
  <c r="W53" i="65"/>
  <c r="W54" i="65"/>
  <c r="W55" i="65"/>
  <c r="W56" i="65"/>
  <c r="W57" i="65"/>
  <c r="W94" i="65"/>
  <c r="W61" i="65"/>
  <c r="W63" i="65"/>
  <c r="W66" i="65"/>
  <c r="W67" i="65"/>
  <c r="W68" i="65"/>
  <c r="W69" i="65"/>
  <c r="W70" i="65"/>
  <c r="W72" i="65"/>
  <c r="W75" i="65"/>
  <c r="W95" i="65"/>
  <c r="W79" i="65"/>
  <c r="W96" i="65"/>
  <c r="W97" i="65"/>
  <c r="W98" i="65"/>
  <c r="W99" i="65"/>
  <c r="W100" i="65"/>
  <c r="W105" i="65"/>
  <c r="W107" i="65"/>
  <c r="W114" i="65"/>
  <c r="W115" i="65"/>
  <c r="W116" i="65"/>
  <c r="W118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6" i="65"/>
  <c r="W157" i="65"/>
  <c r="W158" i="65"/>
  <c r="W159" i="65"/>
  <c r="W17" i="65"/>
  <c r="W24" i="65"/>
  <c r="W29" i="65"/>
  <c r="W35" i="65"/>
  <c r="W58" i="65"/>
  <c r="W59" i="65"/>
  <c r="W48" i="65"/>
  <c r="W49" i="65"/>
  <c r="W71" i="65"/>
  <c r="W73" i="65"/>
  <c r="W77" i="65"/>
  <c r="W81" i="65"/>
  <c r="W82" i="65"/>
  <c r="W161" i="65"/>
  <c r="W162" i="65"/>
  <c r="W163" i="65"/>
  <c r="W165" i="65"/>
  <c r="W167" i="65"/>
  <c r="W168" i="65"/>
  <c r="W170" i="65"/>
  <c r="W83" i="65"/>
  <c r="W171" i="65"/>
  <c r="X128" i="65"/>
  <c r="X129" i="65"/>
  <c r="X130" i="65"/>
  <c r="X131" i="65"/>
  <c r="X121" i="65"/>
  <c r="X122" i="65"/>
  <c r="X123" i="65"/>
  <c r="X124" i="65"/>
  <c r="X125" i="65"/>
  <c r="X126" i="65"/>
  <c r="X127" i="65"/>
  <c r="X132" i="65"/>
  <c r="X133" i="65"/>
  <c r="X134" i="65"/>
  <c r="X135" i="65"/>
  <c r="X136" i="65"/>
  <c r="X137" i="65"/>
  <c r="X138" i="65"/>
  <c r="X117" i="65"/>
  <c r="X87" i="65"/>
  <c r="X14" i="65"/>
  <c r="X21" i="65"/>
  <c r="X88" i="65"/>
  <c r="X16" i="65"/>
  <c r="X23" i="65"/>
  <c r="X89" i="65"/>
  <c r="X38" i="65"/>
  <c r="X32" i="65"/>
  <c r="X27" i="65"/>
  <c r="X90" i="65"/>
  <c r="X39" i="65"/>
  <c r="X33" i="65"/>
  <c r="X28" i="65"/>
  <c r="X91" i="65"/>
  <c r="X15" i="65"/>
  <c r="X22" i="65"/>
  <c r="X65" i="65"/>
  <c r="X92" i="65"/>
  <c r="X44" i="65"/>
  <c r="X45" i="65"/>
  <c r="X46" i="65"/>
  <c r="X47" i="65"/>
  <c r="X93" i="65"/>
  <c r="X51" i="65"/>
  <c r="X52" i="65"/>
  <c r="X53" i="65"/>
  <c r="X54" i="65"/>
  <c r="X55" i="65"/>
  <c r="X56" i="65"/>
  <c r="X57" i="65"/>
  <c r="X94" i="65"/>
  <c r="X61" i="65"/>
  <c r="X63" i="65"/>
  <c r="X66" i="65"/>
  <c r="X67" i="65"/>
  <c r="X68" i="65"/>
  <c r="X69" i="65"/>
  <c r="X70" i="65"/>
  <c r="X72" i="65"/>
  <c r="X75" i="65"/>
  <c r="X95" i="65"/>
  <c r="X79" i="65"/>
  <c r="X96" i="65"/>
  <c r="X97" i="65"/>
  <c r="X98" i="65"/>
  <c r="X99" i="65"/>
  <c r="X100" i="65"/>
  <c r="X105" i="65"/>
  <c r="X107" i="65"/>
  <c r="X114" i="65"/>
  <c r="X115" i="65"/>
  <c r="X116" i="65"/>
  <c r="X118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6" i="65"/>
  <c r="X157" i="65"/>
  <c r="X158" i="65"/>
  <c r="X159" i="65"/>
  <c r="X17" i="65"/>
  <c r="X24" i="65"/>
  <c r="X29" i="65"/>
  <c r="X35" i="65"/>
  <c r="X58" i="65"/>
  <c r="X59" i="65"/>
  <c r="X48" i="65"/>
  <c r="X49" i="65"/>
  <c r="X71" i="65"/>
  <c r="X73" i="65"/>
  <c r="X77" i="65"/>
  <c r="X81" i="65"/>
  <c r="X82" i="65"/>
  <c r="X161" i="65"/>
  <c r="X162" i="65"/>
  <c r="X163" i="65"/>
  <c r="X165" i="65"/>
  <c r="X167" i="65"/>
  <c r="X168" i="65"/>
  <c r="X170" i="65"/>
  <c r="X83" i="65"/>
  <c r="X171" i="65"/>
  <c r="Y128" i="65"/>
  <c r="Y129" i="65"/>
  <c r="Y130" i="65"/>
  <c r="Y131" i="65"/>
  <c r="Y121" i="65"/>
  <c r="Y122" i="65"/>
  <c r="Y123" i="65"/>
  <c r="Y124" i="65"/>
  <c r="Y125" i="65"/>
  <c r="Y126" i="65"/>
  <c r="Y127" i="65"/>
  <c r="Y132" i="65"/>
  <c r="Y133" i="65"/>
  <c r="Y134" i="65"/>
  <c r="Y135" i="65"/>
  <c r="Y136" i="65"/>
  <c r="Y137" i="65"/>
  <c r="Y138" i="65"/>
  <c r="Y117" i="65"/>
  <c r="Y87" i="65"/>
  <c r="Y14" i="65"/>
  <c r="Y21" i="65"/>
  <c r="Y88" i="65"/>
  <c r="Y16" i="65"/>
  <c r="Y23" i="65"/>
  <c r="Y89" i="65"/>
  <c r="Y38" i="65"/>
  <c r="Y32" i="65"/>
  <c r="Y27" i="65"/>
  <c r="Y90" i="65"/>
  <c r="Y39" i="65"/>
  <c r="Y33" i="65"/>
  <c r="Y28" i="65"/>
  <c r="Y91" i="65"/>
  <c r="Y15" i="65"/>
  <c r="Y22" i="65"/>
  <c r="Y65" i="65"/>
  <c r="Y92" i="65"/>
  <c r="Y44" i="65"/>
  <c r="Y45" i="65"/>
  <c r="Y46" i="65"/>
  <c r="Y47" i="65"/>
  <c r="Y93" i="65"/>
  <c r="Y51" i="65"/>
  <c r="Y52" i="65"/>
  <c r="Y53" i="65"/>
  <c r="Y54" i="65"/>
  <c r="Y55" i="65"/>
  <c r="Y56" i="65"/>
  <c r="Y57" i="65"/>
  <c r="Y94" i="65"/>
  <c r="AF61" i="65"/>
  <c r="Y61" i="65"/>
  <c r="AF63" i="65"/>
  <c r="Y63" i="65"/>
  <c r="Y66" i="65"/>
  <c r="Y67" i="65"/>
  <c r="Y68" i="65"/>
  <c r="AF69" i="65"/>
  <c r="Y69" i="65"/>
  <c r="Y70" i="65"/>
  <c r="Y72" i="65"/>
  <c r="Y75" i="65"/>
  <c r="Y95" i="65"/>
  <c r="Y79" i="65"/>
  <c r="Y96" i="65"/>
  <c r="Y97" i="65"/>
  <c r="Y98" i="65"/>
  <c r="Y99" i="65"/>
  <c r="Y100" i="65"/>
  <c r="Y105" i="65"/>
  <c r="Y107" i="65"/>
  <c r="Y114" i="65"/>
  <c r="Y115" i="65"/>
  <c r="Y116" i="65"/>
  <c r="Y118" i="65"/>
  <c r="Y140" i="65"/>
  <c r="Y141" i="65"/>
  <c r="Y142" i="65"/>
  <c r="Y143" i="65"/>
  <c r="Y144" i="65"/>
  <c r="Y145" i="65"/>
  <c r="Y146" i="65"/>
  <c r="Y147" i="65"/>
  <c r="Y148" i="65"/>
  <c r="Y149" i="65"/>
  <c r="Y150" i="65"/>
  <c r="Y151" i="65"/>
  <c r="Y152" i="65"/>
  <c r="Y153" i="65"/>
  <c r="Y154" i="65"/>
  <c r="Y156" i="65"/>
  <c r="Y157" i="65"/>
  <c r="Y158" i="65"/>
  <c r="Y159" i="65"/>
  <c r="Y17" i="65"/>
  <c r="Y24" i="65"/>
  <c r="Y29" i="65"/>
  <c r="Y35" i="65"/>
  <c r="Y58" i="65"/>
  <c r="Y59" i="65"/>
  <c r="Y48" i="65"/>
  <c r="Y49" i="65"/>
  <c r="Y71" i="65"/>
  <c r="Y73" i="65"/>
  <c r="Y77" i="65"/>
  <c r="Y81" i="65"/>
  <c r="Y82" i="65"/>
  <c r="Y161" i="65"/>
  <c r="Y162" i="65"/>
  <c r="Y163" i="65"/>
  <c r="Y165" i="65"/>
  <c r="Y167" i="65"/>
  <c r="Y168" i="65"/>
  <c r="Y170" i="65"/>
  <c r="Y83" i="65"/>
  <c r="Y171" i="65"/>
  <c r="AB131" i="65"/>
  <c r="AB127" i="65"/>
  <c r="AB132" i="65"/>
  <c r="AB136" i="65"/>
  <c r="AB138" i="65"/>
  <c r="AB87" i="65"/>
  <c r="AB88" i="65"/>
  <c r="AB89" i="65"/>
  <c r="AB90" i="65"/>
  <c r="AB91" i="65"/>
  <c r="AB92" i="65"/>
  <c r="AB93" i="65"/>
  <c r="AB94" i="65"/>
  <c r="AB95" i="65"/>
  <c r="AB96" i="65"/>
  <c r="AB97" i="65"/>
  <c r="AB99" i="65"/>
  <c r="AB105" i="65"/>
  <c r="AB114" i="65"/>
  <c r="AB115" i="65"/>
  <c r="AB116" i="65"/>
  <c r="AB118" i="65"/>
  <c r="AB140" i="65"/>
  <c r="AB141" i="65"/>
  <c r="AB149" i="65"/>
  <c r="AB152" i="65"/>
  <c r="AB153" i="65"/>
  <c r="AB154" i="65"/>
  <c r="AB164" i="65"/>
  <c r="AB166" i="65"/>
  <c r="AC128" i="65"/>
  <c r="AC129" i="65"/>
  <c r="AC130" i="65"/>
  <c r="AC131" i="65"/>
  <c r="AC121" i="65"/>
  <c r="AC122" i="65"/>
  <c r="AC123" i="65"/>
  <c r="AC124" i="65"/>
  <c r="AC100" i="65"/>
  <c r="AC125" i="65"/>
  <c r="AC126" i="65"/>
  <c r="AC127" i="65"/>
  <c r="AC132" i="65"/>
  <c r="AC133" i="65"/>
  <c r="AC134" i="65"/>
  <c r="AC135" i="65"/>
  <c r="AC136" i="65"/>
  <c r="AC137" i="65"/>
  <c r="AC138" i="65"/>
  <c r="AC117" i="65"/>
  <c r="AC87" i="65"/>
  <c r="AC88" i="65"/>
  <c r="AC89" i="65"/>
  <c r="AC90" i="65"/>
  <c r="AC91" i="65"/>
  <c r="AC92" i="65"/>
  <c r="AC93" i="65"/>
  <c r="AC94" i="65"/>
  <c r="AC95" i="65"/>
  <c r="AC96" i="65"/>
  <c r="AC97" i="65"/>
  <c r="AC104" i="65"/>
  <c r="AC105" i="65"/>
  <c r="AC115" i="65"/>
  <c r="AC142" i="65"/>
  <c r="AC143" i="65"/>
  <c r="AC144" i="65"/>
  <c r="AC145" i="65"/>
  <c r="AC146" i="65"/>
  <c r="AC147" i="65"/>
  <c r="AC148" i="65"/>
  <c r="AC149" i="65"/>
  <c r="AC150" i="65"/>
  <c r="AC151" i="65"/>
  <c r="AC152" i="65"/>
  <c r="AC156" i="65"/>
  <c r="AC157" i="65"/>
  <c r="AC158" i="65"/>
  <c r="AC159" i="65"/>
  <c r="AC161" i="65"/>
  <c r="AC162" i="65"/>
  <c r="AC163" i="65"/>
  <c r="AC165" i="65"/>
  <c r="AC167" i="65"/>
  <c r="AC168" i="65"/>
  <c r="AC170" i="65"/>
  <c r="AC83" i="65"/>
  <c r="AC171" i="65"/>
  <c r="AD128" i="65"/>
  <c r="AD129" i="65"/>
  <c r="AD130" i="65"/>
  <c r="AD131" i="65"/>
  <c r="AD121" i="65"/>
  <c r="AD122" i="65"/>
  <c r="AD123" i="65"/>
  <c r="AD124" i="65"/>
  <c r="AD100" i="65"/>
  <c r="AD125" i="65"/>
  <c r="AD126" i="65"/>
  <c r="AD127" i="65"/>
  <c r="AD132" i="65"/>
  <c r="AD133" i="65"/>
  <c r="AD134" i="65"/>
  <c r="AD135" i="65"/>
  <c r="AD136" i="65"/>
  <c r="AD137" i="65"/>
  <c r="AD138" i="65"/>
  <c r="AD87" i="65"/>
  <c r="AD88" i="65"/>
  <c r="AD89" i="65"/>
  <c r="AD90" i="65"/>
  <c r="AD91" i="65"/>
  <c r="AD92" i="65"/>
  <c r="AD93" i="65"/>
  <c r="AD94" i="65"/>
  <c r="AD95" i="65"/>
  <c r="AD96" i="65"/>
  <c r="AD97" i="65"/>
  <c r="AD99" i="65"/>
  <c r="AD105" i="65"/>
  <c r="AD114" i="65"/>
  <c r="AD115" i="65"/>
  <c r="AD116" i="65"/>
  <c r="AD142" i="65"/>
  <c r="AD143" i="65"/>
  <c r="AD144" i="65"/>
  <c r="AD145" i="65"/>
  <c r="AD146" i="65"/>
  <c r="AD147" i="65"/>
  <c r="AD148" i="65"/>
  <c r="AD149" i="65"/>
  <c r="AD150" i="65"/>
  <c r="AD151" i="65"/>
  <c r="AD152" i="65"/>
  <c r="AD156" i="65"/>
  <c r="AD157" i="65"/>
  <c r="AD158" i="65"/>
  <c r="AD159" i="65"/>
  <c r="AD161" i="65"/>
  <c r="AD162" i="65"/>
  <c r="AD163" i="65"/>
  <c r="AD165" i="65"/>
  <c r="AD167" i="65"/>
  <c r="AD168" i="65"/>
  <c r="AD170" i="65"/>
  <c r="AD83" i="65"/>
  <c r="AD171" i="65"/>
  <c r="AE128" i="65"/>
  <c r="AE129" i="65"/>
  <c r="AE130" i="65"/>
  <c r="AE131" i="65"/>
  <c r="AE121" i="65"/>
  <c r="AE122" i="65"/>
  <c r="AE123" i="65"/>
  <c r="AE124" i="65"/>
  <c r="AE100" i="65"/>
  <c r="AE125" i="65"/>
  <c r="AE126" i="65"/>
  <c r="AE127" i="65"/>
  <c r="AE132" i="65"/>
  <c r="AE133" i="65"/>
  <c r="AE134" i="65"/>
  <c r="AE135" i="65"/>
  <c r="AE136" i="65"/>
  <c r="AE137" i="65"/>
  <c r="AE138" i="65"/>
  <c r="AE87" i="65"/>
  <c r="AE88" i="65"/>
  <c r="AE89" i="65"/>
  <c r="AE90" i="65"/>
  <c r="AE91" i="65"/>
  <c r="AE92" i="65"/>
  <c r="AE93" i="65"/>
  <c r="AE94" i="65"/>
  <c r="AE95" i="65"/>
  <c r="AE96" i="65"/>
  <c r="AE97" i="65"/>
  <c r="AE99" i="65"/>
  <c r="AE105" i="65"/>
  <c r="AE114" i="65"/>
  <c r="AE115" i="65"/>
  <c r="AE116" i="65"/>
  <c r="AE142" i="65"/>
  <c r="AE143" i="65"/>
  <c r="AE144" i="65"/>
  <c r="AE145" i="65"/>
  <c r="AE146" i="65"/>
  <c r="AE147" i="65"/>
  <c r="AE148" i="65"/>
  <c r="AE149" i="65"/>
  <c r="AE150" i="65"/>
  <c r="AE151" i="65"/>
  <c r="AE152" i="65"/>
  <c r="AE156" i="65"/>
  <c r="AE157" i="65"/>
  <c r="AE158" i="65"/>
  <c r="AE159" i="65"/>
  <c r="AE161" i="65"/>
  <c r="AE162" i="65"/>
  <c r="AE163" i="65"/>
  <c r="AE165" i="65"/>
  <c r="AE167" i="65"/>
  <c r="AE168" i="65"/>
  <c r="AE170" i="65"/>
  <c r="AE83" i="65"/>
  <c r="AE171" i="65"/>
  <c r="AF128" i="65"/>
  <c r="AF58" i="65"/>
  <c r="AF129" i="65"/>
  <c r="AF48" i="65"/>
  <c r="AF71" i="65"/>
  <c r="AF130" i="65"/>
  <c r="AF131" i="65"/>
  <c r="AF121" i="65"/>
  <c r="AF122" i="65"/>
  <c r="AF123" i="65"/>
  <c r="AF124" i="65"/>
  <c r="AF100" i="65"/>
  <c r="AF125" i="65"/>
  <c r="AF126" i="65"/>
  <c r="AF127" i="65"/>
  <c r="AF132" i="65"/>
  <c r="AF133" i="65"/>
  <c r="AF134" i="65"/>
  <c r="AF135" i="65"/>
  <c r="AF136" i="65"/>
  <c r="AF137" i="65"/>
  <c r="AF138" i="65"/>
  <c r="AF87" i="65"/>
  <c r="AF14" i="65"/>
  <c r="AF21" i="65"/>
  <c r="AF88" i="65"/>
  <c r="AF16" i="65"/>
  <c r="AF23" i="65"/>
  <c r="AF89" i="65"/>
  <c r="AF38" i="65"/>
  <c r="AF32" i="65"/>
  <c r="AF27" i="65"/>
  <c r="AF90" i="65"/>
  <c r="AF39" i="65"/>
  <c r="AF33" i="65"/>
  <c r="AF28" i="65"/>
  <c r="AF91" i="65"/>
  <c r="AF15" i="65"/>
  <c r="AF22" i="65"/>
  <c r="AF65" i="65"/>
  <c r="AF92" i="65"/>
  <c r="AF44" i="65"/>
  <c r="AF45" i="65"/>
  <c r="AF46" i="65"/>
  <c r="AF47" i="65"/>
  <c r="AF93" i="65"/>
  <c r="AF51" i="65"/>
  <c r="AF52" i="65"/>
  <c r="AF53" i="65"/>
  <c r="AF54" i="65"/>
  <c r="AF55" i="65"/>
  <c r="AF56" i="65"/>
  <c r="AF57" i="65"/>
  <c r="AF94" i="65"/>
  <c r="AF66" i="65"/>
  <c r="AF67" i="65"/>
  <c r="AF68" i="65"/>
  <c r="AF70" i="65"/>
  <c r="AF72" i="65"/>
  <c r="AF75" i="65"/>
  <c r="AF95" i="65"/>
  <c r="AF79" i="65"/>
  <c r="AF96" i="65"/>
  <c r="AF97" i="65"/>
  <c r="AF99" i="65"/>
  <c r="AF105" i="65"/>
  <c r="AF114" i="65"/>
  <c r="AF115" i="65"/>
  <c r="AF116" i="65"/>
  <c r="AF142" i="65"/>
  <c r="AF143" i="65"/>
  <c r="AF144" i="65"/>
  <c r="AF145" i="65"/>
  <c r="AF146" i="65"/>
  <c r="AF147" i="65"/>
  <c r="AF148" i="65"/>
  <c r="AF149" i="65"/>
  <c r="AF150" i="65"/>
  <c r="AF151" i="65"/>
  <c r="AF152" i="65"/>
  <c r="AF156" i="65"/>
  <c r="AF157" i="65"/>
  <c r="AF158" i="65"/>
  <c r="AF159" i="65"/>
  <c r="AF17" i="65"/>
  <c r="AF24" i="65"/>
  <c r="AF29" i="65"/>
  <c r="AF35" i="65"/>
  <c r="AF59" i="65"/>
  <c r="AF49" i="65"/>
  <c r="AF73" i="65"/>
  <c r="AF77" i="65"/>
  <c r="AF81" i="65"/>
  <c r="AF82" i="65"/>
  <c r="AF161" i="65"/>
  <c r="AF162" i="65"/>
  <c r="AF163" i="65"/>
  <c r="AF165" i="65"/>
  <c r="AF167" i="65"/>
  <c r="AF168" i="65"/>
  <c r="AF170" i="65"/>
  <c r="AF83" i="65"/>
  <c r="AF171" i="65"/>
  <c r="AH5" i="65"/>
  <c r="AI5" i="65"/>
  <c r="AJ5" i="65"/>
  <c r="AK5" i="65"/>
  <c r="AL5" i="65"/>
  <c r="AH6" i="65"/>
  <c r="AI6" i="65"/>
  <c r="AJ6" i="65"/>
  <c r="AK6" i="65"/>
  <c r="AL6" i="65"/>
  <c r="AH7" i="65"/>
  <c r="AI7" i="65"/>
  <c r="AJ7" i="65"/>
  <c r="AK7" i="65"/>
  <c r="AL7" i="65"/>
  <c r="AH8" i="65"/>
  <c r="AI8" i="65"/>
  <c r="AJ8" i="65"/>
  <c r="AK8" i="65"/>
  <c r="AL8" i="65"/>
  <c r="AH9" i="65"/>
  <c r="AI9" i="65"/>
  <c r="AJ9" i="65"/>
  <c r="AK9" i="65"/>
  <c r="AL9" i="65"/>
  <c r="AH10" i="65"/>
  <c r="AI10" i="65"/>
  <c r="AJ10" i="65"/>
  <c r="AK10" i="65"/>
  <c r="AL10" i="65"/>
  <c r="AH11" i="65"/>
  <c r="AI11" i="65"/>
  <c r="AJ11" i="65"/>
  <c r="AK11" i="65"/>
  <c r="AL11" i="65"/>
  <c r="AH12" i="65"/>
  <c r="AI12" i="65"/>
  <c r="AJ12" i="65"/>
  <c r="AK12" i="65"/>
  <c r="AL12" i="65"/>
  <c r="AH13" i="65"/>
  <c r="AI13" i="65"/>
  <c r="AJ13" i="65"/>
  <c r="AK13" i="65"/>
  <c r="AL13" i="65"/>
  <c r="AH14" i="65"/>
  <c r="AI14" i="65"/>
  <c r="AJ14" i="65"/>
  <c r="AK14" i="65"/>
  <c r="AL14" i="65"/>
  <c r="AH15" i="65"/>
  <c r="AI15" i="65"/>
  <c r="AJ15" i="65"/>
  <c r="AK15" i="65"/>
  <c r="AL15" i="65"/>
  <c r="AH16" i="65"/>
  <c r="AI16" i="65"/>
  <c r="AJ16" i="65"/>
  <c r="AK16" i="65"/>
  <c r="AL16" i="65"/>
  <c r="AH17" i="65"/>
  <c r="AI17" i="65"/>
  <c r="AJ17" i="65"/>
  <c r="AK17" i="65"/>
  <c r="AL17" i="65"/>
  <c r="N19" i="65"/>
  <c r="O19" i="65"/>
  <c r="P19" i="65"/>
  <c r="Q19" i="65"/>
  <c r="R19" i="65"/>
  <c r="U19" i="65"/>
  <c r="V19" i="65"/>
  <c r="W19" i="65"/>
  <c r="X19" i="65"/>
  <c r="Y19" i="65"/>
  <c r="AB19" i="65"/>
  <c r="AC19" i="65"/>
  <c r="AD19" i="65"/>
  <c r="AE19" i="65"/>
  <c r="AF19" i="65"/>
  <c r="N20" i="65"/>
  <c r="O20" i="65"/>
  <c r="P20" i="65"/>
  <c r="Q20" i="65"/>
  <c r="R20" i="65"/>
  <c r="U20" i="65"/>
  <c r="V20" i="65"/>
  <c r="W20" i="65"/>
  <c r="X20" i="65"/>
  <c r="Y20" i="65"/>
  <c r="AB20" i="65"/>
  <c r="AC20" i="65"/>
  <c r="AD20" i="65"/>
  <c r="AE20" i="65"/>
  <c r="AF20" i="65"/>
  <c r="AH21" i="65"/>
  <c r="AI21" i="65"/>
  <c r="AJ21" i="65"/>
  <c r="AK21" i="65"/>
  <c r="AL21" i="65"/>
  <c r="AH22" i="65"/>
  <c r="AI22" i="65"/>
  <c r="AJ22" i="65"/>
  <c r="AK22" i="65"/>
  <c r="AL22" i="65"/>
  <c r="AH23" i="65"/>
  <c r="AI23" i="65"/>
  <c r="AJ23" i="65"/>
  <c r="AK23" i="65"/>
  <c r="AL23" i="65"/>
  <c r="AH24" i="65"/>
  <c r="AI24" i="65"/>
  <c r="AJ24" i="65"/>
  <c r="AK24" i="65"/>
  <c r="AL24" i="65"/>
  <c r="N26" i="65"/>
  <c r="O26" i="65"/>
  <c r="P26" i="65"/>
  <c r="Q26" i="65"/>
  <c r="R26" i="65"/>
  <c r="U26" i="65"/>
  <c r="V26" i="65"/>
  <c r="W26" i="65"/>
  <c r="X26" i="65"/>
  <c r="Y26" i="65"/>
  <c r="AB26" i="65"/>
  <c r="AC26" i="65"/>
  <c r="AD26" i="65"/>
  <c r="AE26" i="65"/>
  <c r="AF26" i="65"/>
  <c r="AH27" i="65"/>
  <c r="AI27" i="65"/>
  <c r="AJ27" i="65"/>
  <c r="AK27" i="65"/>
  <c r="AL27" i="65"/>
  <c r="AH28" i="65"/>
  <c r="AI28" i="65"/>
  <c r="AJ28" i="65"/>
  <c r="AK28" i="65"/>
  <c r="AL28" i="65"/>
  <c r="AH29" i="65"/>
  <c r="AI29" i="65"/>
  <c r="AJ29" i="65"/>
  <c r="AK29" i="65"/>
  <c r="AL29" i="65"/>
  <c r="N30" i="65"/>
  <c r="O30" i="65"/>
  <c r="P30" i="65"/>
  <c r="Q30" i="65"/>
  <c r="R30" i="65"/>
  <c r="U30" i="65"/>
  <c r="V30" i="65"/>
  <c r="W30" i="65"/>
  <c r="X30" i="65"/>
  <c r="Y30" i="65"/>
  <c r="AB30" i="65"/>
  <c r="AC30" i="65"/>
  <c r="AD30" i="65"/>
  <c r="AE30" i="65"/>
  <c r="AF30" i="65"/>
  <c r="G30" i="65"/>
  <c r="AH30" i="65"/>
  <c r="H30" i="65"/>
  <c r="AI30" i="65"/>
  <c r="I30" i="65"/>
  <c r="AJ30" i="65"/>
  <c r="J30" i="65"/>
  <c r="AK30" i="65"/>
  <c r="K30" i="65"/>
  <c r="AL30" i="65"/>
  <c r="N31" i="65"/>
  <c r="O31" i="65"/>
  <c r="P31" i="65"/>
  <c r="Q31" i="65"/>
  <c r="R31" i="65"/>
  <c r="U31" i="65"/>
  <c r="V31" i="65"/>
  <c r="W31" i="65"/>
  <c r="X31" i="65"/>
  <c r="Y31" i="65"/>
  <c r="AB31" i="65"/>
  <c r="AC31" i="65"/>
  <c r="AD31" i="65"/>
  <c r="AE31" i="65"/>
  <c r="AF31" i="65"/>
  <c r="G31" i="65"/>
  <c r="AH31" i="65"/>
  <c r="H31" i="65"/>
  <c r="AI31" i="65"/>
  <c r="I31" i="65"/>
  <c r="AJ31" i="65"/>
  <c r="J31" i="65"/>
  <c r="AK31" i="65"/>
  <c r="K31" i="65"/>
  <c r="AL31" i="65"/>
  <c r="N32" i="65"/>
  <c r="AB32" i="65"/>
  <c r="AH32" i="65"/>
  <c r="AI32" i="65"/>
  <c r="AJ32" i="65"/>
  <c r="AK32" i="65"/>
  <c r="AL32" i="65"/>
  <c r="N33" i="65"/>
  <c r="U33" i="65"/>
  <c r="AH33" i="65"/>
  <c r="AI33" i="65"/>
  <c r="AJ33" i="65"/>
  <c r="AK33" i="65"/>
  <c r="AL33" i="65"/>
  <c r="N34" i="65"/>
  <c r="O34" i="65"/>
  <c r="P34" i="65"/>
  <c r="Q34" i="65"/>
  <c r="R34" i="65"/>
  <c r="U34" i="65"/>
  <c r="V34" i="65"/>
  <c r="W34" i="65"/>
  <c r="X34" i="65"/>
  <c r="Y34" i="65"/>
  <c r="AB34" i="65"/>
  <c r="AC34" i="65"/>
  <c r="AD34" i="65"/>
  <c r="AE34" i="65"/>
  <c r="AF34" i="65"/>
  <c r="G34" i="65"/>
  <c r="AH34" i="65"/>
  <c r="H34" i="65"/>
  <c r="AI34" i="65"/>
  <c r="I34" i="65"/>
  <c r="AJ34" i="65"/>
  <c r="J34" i="65"/>
  <c r="AK34" i="65"/>
  <c r="K34" i="65"/>
  <c r="AL34" i="65"/>
  <c r="AH35" i="65"/>
  <c r="AI35" i="65"/>
  <c r="AJ35" i="65"/>
  <c r="AK35" i="65"/>
  <c r="AL35" i="65"/>
  <c r="N36" i="65"/>
  <c r="O36" i="65"/>
  <c r="P36" i="65"/>
  <c r="Q36" i="65"/>
  <c r="R36" i="65"/>
  <c r="U36" i="65"/>
  <c r="V36" i="65"/>
  <c r="W36" i="65"/>
  <c r="X36" i="65"/>
  <c r="Y36" i="65"/>
  <c r="AB36" i="65"/>
  <c r="AC36" i="65"/>
  <c r="AD36" i="65"/>
  <c r="AE36" i="65"/>
  <c r="AF36" i="65"/>
  <c r="G36" i="65"/>
  <c r="AH36" i="65"/>
  <c r="H36" i="65"/>
  <c r="AI36" i="65"/>
  <c r="I36" i="65"/>
  <c r="AJ36" i="65"/>
  <c r="J36" i="65"/>
  <c r="AK36" i="65"/>
  <c r="K36" i="65"/>
  <c r="AL36" i="65"/>
  <c r="N37" i="65"/>
  <c r="O37" i="65"/>
  <c r="P37" i="65"/>
  <c r="Q37" i="65"/>
  <c r="R37" i="65"/>
  <c r="U37" i="65"/>
  <c r="V37" i="65"/>
  <c r="W37" i="65"/>
  <c r="X37" i="65"/>
  <c r="Y37" i="65"/>
  <c r="AB37" i="65"/>
  <c r="AC37" i="65"/>
  <c r="AD37" i="65"/>
  <c r="AE37" i="65"/>
  <c r="AF37" i="65"/>
  <c r="G37" i="65"/>
  <c r="AH37" i="65"/>
  <c r="H37" i="65"/>
  <c r="AI37" i="65"/>
  <c r="I37" i="65"/>
  <c r="AJ37" i="65"/>
  <c r="J37" i="65"/>
  <c r="AK37" i="65"/>
  <c r="K37" i="65"/>
  <c r="AL37" i="65"/>
  <c r="AH38" i="65"/>
  <c r="AI38" i="65"/>
  <c r="AJ38" i="65"/>
  <c r="AK38" i="65"/>
  <c r="AL38" i="65"/>
  <c r="AH39" i="65"/>
  <c r="AI39" i="65"/>
  <c r="AJ39" i="65"/>
  <c r="AK39" i="65"/>
  <c r="AL39" i="65"/>
  <c r="N40" i="65"/>
  <c r="O40" i="65"/>
  <c r="P40" i="65"/>
  <c r="Q40" i="65"/>
  <c r="R40" i="65"/>
  <c r="U40" i="65"/>
  <c r="V40" i="65"/>
  <c r="W40" i="65"/>
  <c r="X40" i="65"/>
  <c r="Y40" i="65"/>
  <c r="AB40" i="65"/>
  <c r="AC40" i="65"/>
  <c r="AD40" i="65"/>
  <c r="AE40" i="65"/>
  <c r="AF40" i="65"/>
  <c r="G40" i="65"/>
  <c r="AH40" i="65"/>
  <c r="H40" i="65"/>
  <c r="AI40" i="65"/>
  <c r="I40" i="65"/>
  <c r="AJ40" i="65"/>
  <c r="J40" i="65"/>
  <c r="AK40" i="65"/>
  <c r="K40" i="65"/>
  <c r="AL40" i="65"/>
  <c r="N41" i="65"/>
  <c r="O41" i="65"/>
  <c r="P41" i="65"/>
  <c r="Q41" i="65"/>
  <c r="R41" i="65"/>
  <c r="U41" i="65"/>
  <c r="V41" i="65"/>
  <c r="W41" i="65"/>
  <c r="X41" i="65"/>
  <c r="Y41" i="65"/>
  <c r="AB41" i="65"/>
  <c r="AC41" i="65"/>
  <c r="AD41" i="65"/>
  <c r="AE41" i="65"/>
  <c r="AF41" i="65"/>
  <c r="N42" i="65"/>
  <c r="O42" i="65"/>
  <c r="P42" i="65"/>
  <c r="Q42" i="65"/>
  <c r="R42" i="65"/>
  <c r="U42" i="65"/>
  <c r="V42" i="65"/>
  <c r="W42" i="65"/>
  <c r="X42" i="65"/>
  <c r="Y42" i="65"/>
  <c r="AB42" i="65"/>
  <c r="AC42" i="65"/>
  <c r="AD42" i="65"/>
  <c r="AE42" i="65"/>
  <c r="AF42" i="65"/>
  <c r="AH44" i="65"/>
  <c r="AI44" i="65"/>
  <c r="AJ44" i="65"/>
  <c r="AK44" i="65"/>
  <c r="AL44" i="65"/>
  <c r="AH45" i="65"/>
  <c r="AI45" i="65"/>
  <c r="AJ45" i="65"/>
  <c r="AK45" i="65"/>
  <c r="AL45" i="65"/>
  <c r="AH46" i="65"/>
  <c r="AI46" i="65"/>
  <c r="AJ46" i="65"/>
  <c r="AK46" i="65"/>
  <c r="AL46" i="65"/>
  <c r="AH47" i="65"/>
  <c r="AI47" i="65"/>
  <c r="AJ47" i="65"/>
  <c r="AK47" i="65"/>
  <c r="AL47" i="65"/>
  <c r="AH48" i="65"/>
  <c r="AI48" i="65"/>
  <c r="AJ48" i="65"/>
  <c r="AK48" i="65"/>
  <c r="AL48" i="65"/>
  <c r="AH49" i="65"/>
  <c r="AI49" i="65"/>
  <c r="AJ49" i="65"/>
  <c r="AK49" i="65"/>
  <c r="AL49" i="65"/>
  <c r="N50" i="65"/>
  <c r="O50" i="65"/>
  <c r="P50" i="65"/>
  <c r="Q50" i="65"/>
  <c r="R50" i="65"/>
  <c r="U50" i="65"/>
  <c r="V50" i="65"/>
  <c r="W50" i="65"/>
  <c r="X50" i="65"/>
  <c r="Y50" i="65"/>
  <c r="AB50" i="65"/>
  <c r="AC50" i="65"/>
  <c r="AD50" i="65"/>
  <c r="AE50" i="65"/>
  <c r="AF50" i="65"/>
  <c r="AH51" i="65"/>
  <c r="AI51" i="65"/>
  <c r="AJ51" i="65"/>
  <c r="AK51" i="65"/>
  <c r="AL51" i="65"/>
  <c r="AH52" i="65"/>
  <c r="AI52" i="65"/>
  <c r="AJ52" i="65"/>
  <c r="AK52" i="65"/>
  <c r="AL52" i="65"/>
  <c r="AH53" i="65"/>
  <c r="AI53" i="65"/>
  <c r="AJ53" i="65"/>
  <c r="AK53" i="65"/>
  <c r="AL53" i="65"/>
  <c r="AH54" i="65"/>
  <c r="AI54" i="65"/>
  <c r="AJ54" i="65"/>
  <c r="AK54" i="65"/>
  <c r="AL54" i="65"/>
  <c r="AH55" i="65"/>
  <c r="AI55" i="65"/>
  <c r="AJ55" i="65"/>
  <c r="AK55" i="65"/>
  <c r="AL55" i="65"/>
  <c r="AH56" i="65"/>
  <c r="AI56" i="65"/>
  <c r="AJ56" i="65"/>
  <c r="AK56" i="65"/>
  <c r="AL56" i="65"/>
  <c r="AH57" i="65"/>
  <c r="AI57" i="65"/>
  <c r="AJ57" i="65"/>
  <c r="AK57" i="65"/>
  <c r="AL57" i="65"/>
  <c r="AH58" i="65"/>
  <c r="AI58" i="65"/>
  <c r="AJ58" i="65"/>
  <c r="AK58" i="65"/>
  <c r="AL58" i="65"/>
  <c r="AH59" i="65"/>
  <c r="AI59" i="65"/>
  <c r="AJ59" i="65"/>
  <c r="AK59" i="65"/>
  <c r="AL59" i="65"/>
  <c r="N60" i="65"/>
  <c r="O60" i="65"/>
  <c r="P60" i="65"/>
  <c r="Q60" i="65"/>
  <c r="R60" i="65"/>
  <c r="U60" i="65"/>
  <c r="V60" i="65"/>
  <c r="W60" i="65"/>
  <c r="X60" i="65"/>
  <c r="Y60" i="65"/>
  <c r="AB60" i="65"/>
  <c r="AC60" i="65"/>
  <c r="AD60" i="65"/>
  <c r="AE60" i="65"/>
  <c r="AF60" i="65"/>
  <c r="AH61" i="65"/>
  <c r="AI61" i="65"/>
  <c r="AJ61" i="65"/>
  <c r="AK61" i="65"/>
  <c r="AL61" i="65"/>
  <c r="AH62" i="65"/>
  <c r="AI62" i="65"/>
  <c r="AJ62" i="65"/>
  <c r="AK62" i="65"/>
  <c r="AL62" i="65"/>
  <c r="AH63" i="65"/>
  <c r="AI63" i="65"/>
  <c r="AJ63" i="65"/>
  <c r="AK63" i="65"/>
  <c r="AL63" i="65"/>
  <c r="AH64" i="65"/>
  <c r="AI64" i="65"/>
  <c r="AJ64" i="65"/>
  <c r="AK64" i="65"/>
  <c r="AL64" i="65"/>
  <c r="AH65" i="65"/>
  <c r="AI65" i="65"/>
  <c r="AJ65" i="65"/>
  <c r="AK65" i="65"/>
  <c r="AL65" i="65"/>
  <c r="AH66" i="65"/>
  <c r="AI66" i="65"/>
  <c r="AJ66" i="65"/>
  <c r="AK66" i="65"/>
  <c r="AL66" i="65"/>
  <c r="AH67" i="65"/>
  <c r="AI67" i="65"/>
  <c r="AJ67" i="65"/>
  <c r="AK67" i="65"/>
  <c r="AL67" i="65"/>
  <c r="AH68" i="65"/>
  <c r="AI68" i="65"/>
  <c r="AJ68" i="65"/>
  <c r="AK68" i="65"/>
  <c r="AL68" i="65"/>
  <c r="AH69" i="65"/>
  <c r="AI69" i="65"/>
  <c r="AJ69" i="65"/>
  <c r="AK69" i="65"/>
  <c r="AL69" i="65"/>
  <c r="AH70" i="65"/>
  <c r="AI70" i="65"/>
  <c r="AJ70" i="65"/>
  <c r="AK70" i="65"/>
  <c r="AL70" i="65"/>
  <c r="AH71" i="65"/>
  <c r="AI71" i="65"/>
  <c r="AJ71" i="65"/>
  <c r="AK71" i="65"/>
  <c r="AL71" i="65"/>
  <c r="AH72" i="65"/>
  <c r="AI72" i="65"/>
  <c r="AJ72" i="65"/>
  <c r="AK72" i="65"/>
  <c r="AL72" i="65"/>
  <c r="AH73" i="65"/>
  <c r="AI73" i="65"/>
  <c r="AJ73" i="65"/>
  <c r="AK73" i="65"/>
  <c r="AL73" i="65"/>
  <c r="AH75" i="65"/>
  <c r="AI75" i="65"/>
  <c r="AJ75" i="65"/>
  <c r="AK75" i="65"/>
  <c r="AL75" i="65"/>
  <c r="AH76" i="65"/>
  <c r="AI76" i="65"/>
  <c r="AJ76" i="65"/>
  <c r="AK76" i="65"/>
  <c r="AL76" i="65"/>
  <c r="AH77" i="65"/>
  <c r="AI77" i="65"/>
  <c r="AJ77" i="65"/>
  <c r="AK77" i="65"/>
  <c r="AL77" i="65"/>
  <c r="N78" i="65"/>
  <c r="O78" i="65"/>
  <c r="P78" i="65"/>
  <c r="Q78" i="65"/>
  <c r="R78" i="65"/>
  <c r="U78" i="65"/>
  <c r="V78" i="65"/>
  <c r="W78" i="65"/>
  <c r="X78" i="65"/>
  <c r="Y78" i="65"/>
  <c r="AB78" i="65"/>
  <c r="AC78" i="65"/>
  <c r="AD78" i="65"/>
  <c r="AE78" i="65"/>
  <c r="AF78" i="65"/>
  <c r="AH79" i="65"/>
  <c r="AI79" i="65"/>
  <c r="AJ79" i="65"/>
  <c r="AK79" i="65"/>
  <c r="AL79" i="65"/>
  <c r="AH80" i="65"/>
  <c r="AI80" i="65"/>
  <c r="AJ80" i="65"/>
  <c r="AK80" i="65"/>
  <c r="AL80" i="65"/>
  <c r="AH81" i="65"/>
  <c r="AI81" i="65"/>
  <c r="AJ81" i="65"/>
  <c r="AK81" i="65"/>
  <c r="AL81" i="65"/>
  <c r="AI82" i="65"/>
  <c r="AJ82" i="65"/>
  <c r="AK82" i="65"/>
  <c r="AL82" i="65"/>
  <c r="AI83" i="65"/>
  <c r="AJ83" i="65"/>
  <c r="AK83" i="65"/>
  <c r="AL83" i="65"/>
  <c r="O84" i="65"/>
  <c r="P84" i="65"/>
  <c r="Q84" i="65"/>
  <c r="R84" i="65"/>
  <c r="V84" i="65"/>
  <c r="W84" i="65"/>
  <c r="X84" i="65"/>
  <c r="Y84" i="65"/>
  <c r="AC84" i="65"/>
  <c r="AD84" i="65"/>
  <c r="AE84" i="65"/>
  <c r="AF84" i="65"/>
  <c r="AH85" i="65"/>
  <c r="AI85" i="65"/>
  <c r="AJ85" i="65"/>
  <c r="AK85" i="65"/>
  <c r="AL85" i="65"/>
  <c r="AH86" i="65"/>
  <c r="AI86" i="65"/>
  <c r="AJ86" i="65"/>
  <c r="AK86" i="65"/>
  <c r="AL86" i="65"/>
  <c r="AH87" i="65"/>
  <c r="AI87" i="65"/>
  <c r="AJ87" i="65"/>
  <c r="AK87" i="65"/>
  <c r="AL87" i="65"/>
  <c r="AH88" i="65"/>
  <c r="AI88" i="65"/>
  <c r="AJ88" i="65"/>
  <c r="AK88" i="65"/>
  <c r="AL88" i="65"/>
  <c r="AH89" i="65"/>
  <c r="AI89" i="65"/>
  <c r="AJ89" i="65"/>
  <c r="AK89" i="65"/>
  <c r="AL89" i="65"/>
  <c r="AH90" i="65"/>
  <c r="AI90" i="65"/>
  <c r="AJ90" i="65"/>
  <c r="AK90" i="65"/>
  <c r="AL90" i="65"/>
  <c r="AH91" i="65"/>
  <c r="AI91" i="65"/>
  <c r="AJ91" i="65"/>
  <c r="AK91" i="65"/>
  <c r="AL91" i="65"/>
  <c r="AH92" i="65"/>
  <c r="AI92" i="65"/>
  <c r="AJ92" i="65"/>
  <c r="AK92" i="65"/>
  <c r="AL92" i="65"/>
  <c r="AH93" i="65"/>
  <c r="AI93" i="65"/>
  <c r="AJ93" i="65"/>
  <c r="AK93" i="65"/>
  <c r="AL93" i="65"/>
  <c r="AH94" i="65"/>
  <c r="AI94" i="65"/>
  <c r="AJ94" i="65"/>
  <c r="AK94" i="65"/>
  <c r="AL94" i="65"/>
  <c r="AH95" i="65"/>
  <c r="AI95" i="65"/>
  <c r="AJ95" i="65"/>
  <c r="AK95" i="65"/>
  <c r="AL95" i="65"/>
  <c r="AH96" i="65"/>
  <c r="AI96" i="65"/>
  <c r="AJ96" i="65"/>
  <c r="AK96" i="65"/>
  <c r="AL96" i="65"/>
  <c r="AH97" i="65"/>
  <c r="AI97" i="65"/>
  <c r="AJ97" i="65"/>
  <c r="AK97" i="65"/>
  <c r="AL97" i="65"/>
  <c r="AJ98" i="65"/>
  <c r="AK98" i="65"/>
  <c r="AL98" i="65"/>
  <c r="AH99" i="65"/>
  <c r="AJ99" i="65"/>
  <c r="AK99" i="65"/>
  <c r="AL99" i="65"/>
  <c r="AH100" i="65"/>
  <c r="AI100" i="65"/>
  <c r="AJ100" i="65"/>
  <c r="AK100" i="65"/>
  <c r="AL100" i="65"/>
  <c r="AH101" i="65"/>
  <c r="AI101" i="65"/>
  <c r="AJ101" i="65"/>
  <c r="AK101" i="65"/>
  <c r="AL101" i="65"/>
  <c r="AH102" i="65"/>
  <c r="AI102" i="65"/>
  <c r="AJ102" i="65"/>
  <c r="AK102" i="65"/>
  <c r="AL102" i="65"/>
  <c r="AH103" i="65"/>
  <c r="AI103" i="65"/>
  <c r="AJ103" i="65"/>
  <c r="AK103" i="65"/>
  <c r="AL103" i="65"/>
  <c r="AH104" i="65"/>
  <c r="AI104" i="65"/>
  <c r="AJ104" i="65"/>
  <c r="AK104" i="65"/>
  <c r="AL104" i="65"/>
  <c r="AH105" i="65"/>
  <c r="AI105" i="65"/>
  <c r="AJ105" i="65"/>
  <c r="AK105" i="65"/>
  <c r="AL105" i="65"/>
  <c r="AH106" i="65"/>
  <c r="AI106" i="65"/>
  <c r="AJ106" i="65"/>
  <c r="AK106" i="65"/>
  <c r="AL106" i="65"/>
  <c r="AH107" i="65"/>
  <c r="AI107" i="65"/>
  <c r="AJ107" i="65"/>
  <c r="AK107" i="65"/>
  <c r="AL107" i="65"/>
  <c r="AH108" i="65"/>
  <c r="AI108" i="65"/>
  <c r="AJ108" i="65"/>
  <c r="AK108" i="65"/>
  <c r="AL108" i="65"/>
  <c r="AH109" i="65"/>
  <c r="AI109" i="65"/>
  <c r="AJ109" i="65"/>
  <c r="AK109" i="65"/>
  <c r="AL109" i="65"/>
  <c r="AH110" i="65"/>
  <c r="AI110" i="65"/>
  <c r="AJ110" i="65"/>
  <c r="AK110" i="65"/>
  <c r="AL110" i="65"/>
  <c r="AH111" i="65"/>
  <c r="AI111" i="65"/>
  <c r="AJ111" i="65"/>
  <c r="AK111" i="65"/>
  <c r="AL111" i="65"/>
  <c r="AH112" i="65"/>
  <c r="AI112" i="65"/>
  <c r="AJ112" i="65"/>
  <c r="AK112" i="65"/>
  <c r="AL112" i="65"/>
  <c r="AH113" i="65"/>
  <c r="AI113" i="65"/>
  <c r="AJ113" i="65"/>
  <c r="AK113" i="65"/>
  <c r="AL113" i="65"/>
  <c r="AH114" i="65"/>
  <c r="AI114" i="65"/>
  <c r="AJ114" i="65"/>
  <c r="AK114" i="65"/>
  <c r="AL114" i="65"/>
  <c r="AH115" i="65"/>
  <c r="AI115" i="65"/>
  <c r="AJ115" i="65"/>
  <c r="AK115" i="65"/>
  <c r="AL115" i="65"/>
  <c r="AH116" i="65"/>
  <c r="AJ116" i="65"/>
  <c r="AK116" i="65"/>
  <c r="AL116" i="65"/>
  <c r="AH117" i="65"/>
  <c r="AI117" i="65"/>
  <c r="AH118" i="65"/>
  <c r="AH119" i="65"/>
  <c r="AI119" i="65"/>
  <c r="AJ119" i="65"/>
  <c r="AK119" i="65"/>
  <c r="AL119" i="65"/>
  <c r="AH120" i="65"/>
  <c r="AI120" i="65"/>
  <c r="AJ120" i="65"/>
  <c r="AK120" i="65"/>
  <c r="AL120" i="65"/>
  <c r="AH121" i="65"/>
  <c r="AI121" i="65"/>
  <c r="AJ121" i="65"/>
  <c r="AK121" i="65"/>
  <c r="AL121" i="65"/>
  <c r="AH122" i="65"/>
  <c r="AI122" i="65"/>
  <c r="AJ122" i="65"/>
  <c r="AK122" i="65"/>
  <c r="AL122" i="65"/>
  <c r="AH123" i="65"/>
  <c r="AI123" i="65"/>
  <c r="AJ123" i="65"/>
  <c r="AK123" i="65"/>
  <c r="AL123" i="65"/>
  <c r="AH124" i="65"/>
  <c r="AI124" i="65"/>
  <c r="AJ124" i="65"/>
  <c r="AK124" i="65"/>
  <c r="AL124" i="65"/>
  <c r="AH125" i="65"/>
  <c r="AI125" i="65"/>
  <c r="AJ125" i="65"/>
  <c r="AK125" i="65"/>
  <c r="AL125" i="65"/>
  <c r="AH126" i="65"/>
  <c r="AI126" i="65"/>
  <c r="AJ126" i="65"/>
  <c r="AK126" i="65"/>
  <c r="AL126" i="65"/>
  <c r="AH127" i="65"/>
  <c r="AI127" i="65"/>
  <c r="AJ127" i="65"/>
  <c r="AK127" i="65"/>
  <c r="AL127" i="65"/>
  <c r="AH128" i="65"/>
  <c r="AI128" i="65"/>
  <c r="AJ128" i="65"/>
  <c r="AK128" i="65"/>
  <c r="AL128" i="65"/>
  <c r="AH129" i="65"/>
  <c r="AI129" i="65"/>
  <c r="AJ129" i="65"/>
  <c r="AK129" i="65"/>
  <c r="AL129" i="65"/>
  <c r="AH130" i="65"/>
  <c r="AI130" i="65"/>
  <c r="AJ130" i="65"/>
  <c r="AK130" i="65"/>
  <c r="AL130" i="65"/>
  <c r="AH131" i="65"/>
  <c r="AI131" i="65"/>
  <c r="AJ131" i="65"/>
  <c r="AK131" i="65"/>
  <c r="AL131" i="65"/>
  <c r="AH132" i="65"/>
  <c r="AI132" i="65"/>
  <c r="AJ132" i="65"/>
  <c r="AK132" i="65"/>
  <c r="AL132" i="65"/>
  <c r="AH133" i="65"/>
  <c r="AI133" i="65"/>
  <c r="AJ133" i="65"/>
  <c r="AK133" i="65"/>
  <c r="AL133" i="65"/>
  <c r="AH134" i="65"/>
  <c r="AI134" i="65"/>
  <c r="AJ134" i="65"/>
  <c r="AK134" i="65"/>
  <c r="AL134" i="65"/>
  <c r="AH135" i="65"/>
  <c r="AI135" i="65"/>
  <c r="AJ135" i="65"/>
  <c r="AK135" i="65"/>
  <c r="AL135" i="65"/>
  <c r="AH136" i="65"/>
  <c r="AI136" i="65"/>
  <c r="AJ136" i="65"/>
  <c r="AK136" i="65"/>
  <c r="AL136" i="65"/>
  <c r="AH137" i="65"/>
  <c r="AI137" i="65"/>
  <c r="AJ137" i="65"/>
  <c r="AK137" i="65"/>
  <c r="AL137" i="65"/>
  <c r="AH138" i="65"/>
  <c r="AI138" i="65"/>
  <c r="AJ138" i="65"/>
  <c r="AK138" i="65"/>
  <c r="AL138" i="65"/>
  <c r="AH139" i="65"/>
  <c r="AI139" i="65"/>
  <c r="AJ139" i="65"/>
  <c r="AK139" i="65"/>
  <c r="AL139" i="65"/>
  <c r="AH140" i="65"/>
  <c r="AH141" i="65"/>
  <c r="AH142" i="65"/>
  <c r="AI142" i="65"/>
  <c r="AJ142" i="65"/>
  <c r="AK142" i="65"/>
  <c r="AL142" i="65"/>
  <c r="AH143" i="65"/>
  <c r="AI143" i="65"/>
  <c r="AJ143" i="65"/>
  <c r="AK143" i="65"/>
  <c r="AL143" i="65"/>
  <c r="AH144" i="65"/>
  <c r="AI144" i="65"/>
  <c r="AJ144" i="65"/>
  <c r="AK144" i="65"/>
  <c r="AL144" i="65"/>
  <c r="AH145" i="65"/>
  <c r="AI145" i="65"/>
  <c r="AJ145" i="65"/>
  <c r="AK145" i="65"/>
  <c r="AL145" i="65"/>
  <c r="AH146" i="65"/>
  <c r="AI146" i="65"/>
  <c r="AJ146" i="65"/>
  <c r="AK146" i="65"/>
  <c r="AL146" i="65"/>
  <c r="AH147" i="65"/>
  <c r="AI147" i="65"/>
  <c r="AJ147" i="65"/>
  <c r="AK147" i="65"/>
  <c r="AL147" i="65"/>
  <c r="AH148" i="65"/>
  <c r="AI148" i="65"/>
  <c r="AJ148" i="65"/>
  <c r="AK148" i="65"/>
  <c r="AL148" i="65"/>
  <c r="AH149" i="65"/>
  <c r="AI149" i="65"/>
  <c r="AJ149" i="65"/>
  <c r="AK149" i="65"/>
  <c r="AL149" i="65"/>
  <c r="AH150" i="65"/>
  <c r="AI150" i="65"/>
  <c r="AJ150" i="65"/>
  <c r="AK150" i="65"/>
  <c r="AL150" i="65"/>
  <c r="AH151" i="65"/>
  <c r="AI151" i="65"/>
  <c r="AJ151" i="65"/>
  <c r="AK151" i="65"/>
  <c r="AL151" i="65"/>
  <c r="AH152" i="65"/>
  <c r="AI152" i="65"/>
  <c r="AJ152" i="65"/>
  <c r="AK152" i="65"/>
  <c r="AL152" i="65"/>
  <c r="AH153" i="65"/>
  <c r="AH154" i="65"/>
  <c r="AH155" i="65"/>
  <c r="AI155" i="65"/>
  <c r="AJ155" i="65"/>
  <c r="AK155" i="65"/>
  <c r="AL155" i="65"/>
  <c r="AH156" i="65"/>
  <c r="AI156" i="65"/>
  <c r="AJ156" i="65"/>
  <c r="AK156" i="65"/>
  <c r="AL156" i="65"/>
  <c r="AH157" i="65"/>
  <c r="AI157" i="65"/>
  <c r="AJ157" i="65"/>
  <c r="AK157" i="65"/>
  <c r="AL157" i="65"/>
  <c r="AH158" i="65"/>
  <c r="AI158" i="65"/>
  <c r="AJ158" i="65"/>
  <c r="AK158" i="65"/>
  <c r="AL158" i="65"/>
  <c r="AH159" i="65"/>
  <c r="AI159" i="65"/>
  <c r="AJ159" i="65"/>
  <c r="AK159" i="65"/>
  <c r="AL159" i="65"/>
  <c r="AH161" i="65"/>
  <c r="AI161" i="65"/>
  <c r="AJ161" i="65"/>
  <c r="AK161" i="65"/>
  <c r="AL161" i="65"/>
  <c r="AH162" i="65"/>
  <c r="AI162" i="65"/>
  <c r="AJ162" i="65"/>
  <c r="AK162" i="65"/>
  <c r="AL162" i="65"/>
  <c r="AH163" i="65"/>
  <c r="AI163" i="65"/>
  <c r="AJ163" i="65"/>
  <c r="AK163" i="65"/>
  <c r="AL163" i="65"/>
  <c r="AH165" i="65"/>
  <c r="AI165" i="65"/>
  <c r="AJ165" i="65"/>
  <c r="AK165" i="65"/>
  <c r="AL165" i="65"/>
  <c r="AH167" i="65"/>
  <c r="AI167" i="65"/>
  <c r="AJ167" i="65"/>
  <c r="AK167" i="65"/>
  <c r="AL167" i="65"/>
  <c r="AH168" i="65"/>
  <c r="AI168" i="65"/>
  <c r="AJ168" i="65"/>
  <c r="AK168" i="65"/>
  <c r="AL168" i="65"/>
  <c r="AH170" i="65"/>
  <c r="AI170" i="65"/>
  <c r="AJ170" i="65"/>
  <c r="AK170" i="65"/>
  <c r="AL170" i="65"/>
  <c r="AI171" i="65"/>
  <c r="AJ171" i="65"/>
  <c r="AK171" i="65"/>
  <c r="AL171" i="65"/>
  <c r="AP69" i="65"/>
  <c r="AM9" i="41"/>
  <c r="ED47" i="25"/>
  <c r="DP47" i="25"/>
  <c r="DB47" i="25"/>
  <c r="CN47" i="25"/>
  <c r="BZ47" i="25"/>
  <c r="BL47" i="25"/>
  <c r="AX47" i="25"/>
  <c r="AJ47" i="25"/>
  <c r="I6" i="74"/>
  <c r="J6" i="74"/>
  <c r="J10" i="74"/>
  <c r="L6" i="74"/>
  <c r="N6" i="74"/>
  <c r="P6" i="74"/>
  <c r="Q6" i="74"/>
  <c r="R6" i="74"/>
  <c r="DE47" i="25"/>
  <c r="CT47" i="25"/>
  <c r="DH47" i="25"/>
  <c r="CU47" i="25"/>
  <c r="DJ47" i="25"/>
  <c r="DL47" i="25"/>
  <c r="AG56" i="57"/>
  <c r="AG58" i="61"/>
  <c r="AG59" i="58"/>
  <c r="AF26" i="14"/>
  <c r="AF39" i="74"/>
  <c r="AF39" i="69"/>
  <c r="AG51" i="58"/>
  <c r="AG63" i="58"/>
  <c r="AF61" i="74"/>
  <c r="AG58" i="62"/>
  <c r="AG60" i="59"/>
  <c r="G69" i="57"/>
  <c r="R6" i="69"/>
  <c r="L6" i="69"/>
  <c r="R26" i="14"/>
  <c r="R32" i="14"/>
  <c r="Q26" i="14"/>
  <c r="Q32" i="14"/>
  <c r="P26" i="14"/>
  <c r="P32" i="14"/>
  <c r="O26" i="14"/>
  <c r="O32" i="14"/>
  <c r="N26" i="14"/>
  <c r="N32" i="14"/>
  <c r="K26" i="14"/>
  <c r="I26" i="14"/>
  <c r="I25" i="14"/>
  <c r="R24" i="14"/>
  <c r="S8" i="49"/>
  <c r="S61" i="14"/>
  <c r="S48" i="14"/>
  <c r="I24" i="14"/>
  <c r="I30" i="14"/>
  <c r="M24" i="14"/>
  <c r="M30" i="14"/>
  <c r="AE7" i="80"/>
  <c r="M6" i="69"/>
  <c r="M29" i="69"/>
  <c r="I6" i="69"/>
  <c r="R18" i="74"/>
  <c r="J29" i="74"/>
  <c r="N7" i="51"/>
  <c r="N8" i="51"/>
  <c r="AE8" i="79"/>
  <c r="AH72" i="14"/>
  <c r="M26" i="14"/>
  <c r="M32" i="14"/>
  <c r="BI5" i="25"/>
  <c r="BE5" i="25"/>
  <c r="BA5" i="25"/>
  <c r="DQ29" i="25"/>
  <c r="DR29" i="25"/>
  <c r="DS29" i="25"/>
  <c r="DT29" i="25"/>
  <c r="DU29" i="25"/>
  <c r="DV29" i="25"/>
  <c r="DW29" i="25"/>
  <c r="DX29" i="25"/>
  <c r="DY29" i="25"/>
  <c r="DZ29" i="25"/>
  <c r="EA29" i="25"/>
  <c r="EB29" i="25"/>
  <c r="DO29" i="25"/>
  <c r="D29" i="25"/>
  <c r="DA29" i="25"/>
  <c r="C29" i="25"/>
  <c r="DQ28" i="25"/>
  <c r="DR28" i="25"/>
  <c r="DS28" i="25"/>
  <c r="DT28" i="25"/>
  <c r="DU28" i="25"/>
  <c r="DV28" i="25"/>
  <c r="DW28" i="25"/>
  <c r="DX28" i="25"/>
  <c r="DY28" i="25"/>
  <c r="DZ28" i="25"/>
  <c r="EA28" i="25"/>
  <c r="EB28" i="25"/>
  <c r="DO28" i="25"/>
  <c r="DA28" i="25"/>
  <c r="C28" i="25"/>
  <c r="D28" i="25"/>
  <c r="DQ26" i="25"/>
  <c r="DR26" i="25"/>
  <c r="DS26" i="25"/>
  <c r="DT26" i="25"/>
  <c r="DU26" i="25"/>
  <c r="DV26" i="25"/>
  <c r="DW26" i="25"/>
  <c r="DX26" i="25"/>
  <c r="DY26" i="25"/>
  <c r="DZ26" i="25"/>
  <c r="EA26" i="25"/>
  <c r="EB26" i="25"/>
  <c r="EC26" i="25"/>
  <c r="E26" i="25"/>
  <c r="DO26" i="25"/>
  <c r="D26" i="25"/>
  <c r="DA26" i="25"/>
  <c r="C26" i="25"/>
  <c r="EC17" i="25"/>
  <c r="E17" i="25"/>
  <c r="DO17" i="25"/>
  <c r="D17" i="25"/>
  <c r="DA17" i="25"/>
  <c r="C17" i="25"/>
  <c r="EC16" i="25"/>
  <c r="E16" i="25"/>
  <c r="DO16" i="25"/>
  <c r="D16" i="25"/>
  <c r="DA16" i="25"/>
  <c r="C16" i="25"/>
  <c r="Q16" i="25"/>
  <c r="R16" i="25"/>
  <c r="EC15" i="25"/>
  <c r="E15" i="25"/>
  <c r="DO15" i="25"/>
  <c r="DA15" i="25"/>
  <c r="C15" i="25"/>
  <c r="D15" i="25"/>
  <c r="DO13" i="25"/>
  <c r="D13" i="25"/>
  <c r="DO12" i="25"/>
  <c r="D12" i="25"/>
  <c r="DA12" i="25"/>
  <c r="C12" i="25"/>
  <c r="E37" i="25"/>
  <c r="DO11" i="25"/>
  <c r="D11" i="25"/>
  <c r="DA11" i="25"/>
  <c r="C11" i="25"/>
  <c r="Q11" i="25"/>
  <c r="R11" i="25"/>
  <c r="DO10" i="25"/>
  <c r="D10" i="25"/>
  <c r="DO9" i="25"/>
  <c r="D9" i="25"/>
  <c r="N9" i="25"/>
  <c r="DO8" i="25"/>
  <c r="D8" i="25"/>
  <c r="DO7" i="25"/>
  <c r="D7" i="25"/>
  <c r="DA7" i="25"/>
  <c r="C7" i="25"/>
  <c r="BK7" i="25"/>
  <c r="E32" i="25"/>
  <c r="D5" i="25"/>
  <c r="Q13" i="79"/>
  <c r="Q24" i="79"/>
  <c r="Q12" i="79"/>
  <c r="Q11" i="79"/>
  <c r="Q22" i="79"/>
  <c r="AE9" i="79"/>
  <c r="DC5" i="25"/>
  <c r="DD5" i="25"/>
  <c r="DE5" i="25"/>
  <c r="DF5" i="25"/>
  <c r="DG5" i="25"/>
  <c r="DH5" i="25"/>
  <c r="DI5" i="25"/>
  <c r="DJ5" i="25"/>
  <c r="DK5" i="25"/>
  <c r="DL5" i="25"/>
  <c r="DM5" i="25"/>
  <c r="DN5" i="25"/>
  <c r="CO5" i="25"/>
  <c r="CP5" i="25"/>
  <c r="CR5" i="25"/>
  <c r="CT5" i="25"/>
  <c r="CU5" i="25"/>
  <c r="CV5" i="25"/>
  <c r="CW5" i="25"/>
  <c r="CX5" i="25"/>
  <c r="CZ5" i="25"/>
  <c r="S5" i="41"/>
  <c r="S6" i="41"/>
  <c r="S7" i="41"/>
  <c r="S8" i="41"/>
  <c r="AB11" i="53"/>
  <c r="AG17" i="51"/>
  <c r="AG23" i="51"/>
  <c r="AG30" i="49"/>
  <c r="AG34" i="49"/>
  <c r="AG45" i="49"/>
  <c r="AA6" i="69"/>
  <c r="AA10" i="69"/>
  <c r="AB26" i="14"/>
  <c r="AB32" i="14"/>
  <c r="AS20" i="40"/>
  <c r="BG8" i="40"/>
  <c r="DK9" i="40"/>
  <c r="BW5" i="40"/>
  <c r="CM5" i="40"/>
  <c r="BA5" i="40"/>
  <c r="AO5" i="40"/>
  <c r="CW6" i="40"/>
  <c r="AS9" i="40"/>
  <c r="BE5" i="40"/>
  <c r="DI5" i="40"/>
  <c r="S14" i="79"/>
  <c r="AG34" i="68"/>
  <c r="E9" i="41"/>
  <c r="D18" i="41"/>
  <c r="B18" i="41"/>
  <c r="A18" i="41"/>
  <c r="D17" i="41"/>
  <c r="B17" i="41"/>
  <c r="A17" i="41"/>
  <c r="D16" i="41"/>
  <c r="B16" i="41"/>
  <c r="A16" i="41"/>
  <c r="D15" i="41"/>
  <c r="B15" i="41"/>
  <c r="A15" i="41"/>
  <c r="AF9" i="41"/>
  <c r="AE9" i="41"/>
  <c r="AD9" i="41"/>
  <c r="AC9" i="41"/>
  <c r="AB9" i="41"/>
  <c r="AA9" i="41"/>
  <c r="Y9" i="41"/>
  <c r="X9" i="41"/>
  <c r="V9" i="41"/>
  <c r="U9" i="41"/>
  <c r="R9" i="41"/>
  <c r="Q9" i="41"/>
  <c r="P9" i="41"/>
  <c r="O9" i="41"/>
  <c r="N9" i="41"/>
  <c r="M9" i="41"/>
  <c r="L9" i="41"/>
  <c r="K9" i="41"/>
  <c r="J9" i="41"/>
  <c r="I9" i="41"/>
  <c r="H9" i="41"/>
  <c r="G9" i="41"/>
  <c r="AE6" i="80"/>
  <c r="AE4" i="80"/>
  <c r="AE13" i="79"/>
  <c r="AE12" i="79"/>
  <c r="AE11" i="79"/>
  <c r="AE10" i="79"/>
  <c r="Q10" i="79"/>
  <c r="AE7" i="79"/>
  <c r="AE6" i="79"/>
  <c r="AE4" i="79"/>
  <c r="S37" i="68"/>
  <c r="AG36" i="68"/>
  <c r="S36" i="68"/>
  <c r="S34" i="68"/>
  <c r="E82" i="65"/>
  <c r="D82" i="65"/>
  <c r="C82" i="65"/>
  <c r="E81" i="65"/>
  <c r="D81" i="65"/>
  <c r="C81" i="65"/>
  <c r="E80" i="65"/>
  <c r="D80" i="65"/>
  <c r="C80" i="65"/>
  <c r="E79" i="65"/>
  <c r="D79" i="65"/>
  <c r="C79" i="65"/>
  <c r="E78" i="65"/>
  <c r="D78" i="65"/>
  <c r="C78" i="65"/>
  <c r="E76" i="65"/>
  <c r="D76" i="65"/>
  <c r="C76" i="65"/>
  <c r="E75" i="65"/>
  <c r="D75" i="65"/>
  <c r="C75" i="65"/>
  <c r="E72" i="65"/>
  <c r="D72" i="65"/>
  <c r="C72" i="65"/>
  <c r="E71" i="65"/>
  <c r="D71" i="65"/>
  <c r="C71" i="65"/>
  <c r="E70" i="65"/>
  <c r="D70" i="65"/>
  <c r="C70" i="65"/>
  <c r="E69" i="65"/>
  <c r="D69" i="65"/>
  <c r="C69" i="65"/>
  <c r="E68" i="65"/>
  <c r="D68" i="65"/>
  <c r="C68" i="65"/>
  <c r="E67" i="65"/>
  <c r="D67" i="65"/>
  <c r="C67" i="65"/>
  <c r="E66" i="65"/>
  <c r="D66" i="65"/>
  <c r="C66" i="65"/>
  <c r="E65" i="65"/>
  <c r="D65" i="65"/>
  <c r="C65" i="65"/>
  <c r="E64" i="65"/>
  <c r="D64" i="65"/>
  <c r="C64" i="65"/>
  <c r="E63" i="65"/>
  <c r="D63" i="65"/>
  <c r="C63" i="65"/>
  <c r="E62" i="65"/>
  <c r="D62" i="65"/>
  <c r="C62" i="65"/>
  <c r="E61" i="65"/>
  <c r="D61" i="65"/>
  <c r="C61" i="65"/>
  <c r="E58" i="65"/>
  <c r="D58" i="65"/>
  <c r="C58" i="65"/>
  <c r="E57" i="65"/>
  <c r="D57" i="65"/>
  <c r="C57" i="65"/>
  <c r="E56" i="65"/>
  <c r="D56" i="65"/>
  <c r="C56" i="65"/>
  <c r="E55" i="65"/>
  <c r="D55" i="65"/>
  <c r="C55" i="65"/>
  <c r="E54" i="65"/>
  <c r="D54" i="65"/>
  <c r="C54" i="65"/>
  <c r="E53" i="65"/>
  <c r="D53" i="65"/>
  <c r="C53" i="65"/>
  <c r="E52" i="65"/>
  <c r="D52" i="65"/>
  <c r="C52" i="65"/>
  <c r="E51" i="65"/>
  <c r="D51" i="65"/>
  <c r="C51" i="65"/>
  <c r="E48" i="65"/>
  <c r="D48" i="65"/>
  <c r="C48" i="65"/>
  <c r="E47" i="65"/>
  <c r="D47" i="65"/>
  <c r="C47" i="65"/>
  <c r="E46" i="65"/>
  <c r="D46" i="65"/>
  <c r="C46" i="65"/>
  <c r="E45" i="65"/>
  <c r="D45" i="65"/>
  <c r="C45" i="65"/>
  <c r="E44" i="65"/>
  <c r="D44" i="65"/>
  <c r="C44" i="65"/>
  <c r="E41" i="65"/>
  <c r="D41" i="65"/>
  <c r="C41" i="65"/>
  <c r="E40" i="65"/>
  <c r="D40" i="65"/>
  <c r="C40" i="65"/>
  <c r="E39" i="65"/>
  <c r="D39" i="65"/>
  <c r="C39" i="65"/>
  <c r="E38" i="65"/>
  <c r="D38" i="65"/>
  <c r="C38" i="65"/>
  <c r="E37" i="65"/>
  <c r="D37" i="65"/>
  <c r="C37" i="65"/>
  <c r="E36" i="65"/>
  <c r="D36" i="65"/>
  <c r="C36" i="65"/>
  <c r="E35" i="65"/>
  <c r="D35" i="65"/>
  <c r="C35" i="65"/>
  <c r="E34" i="65"/>
  <c r="D34" i="65"/>
  <c r="C34" i="65"/>
  <c r="E33" i="65"/>
  <c r="D33" i="65"/>
  <c r="C33" i="65"/>
  <c r="E32" i="65"/>
  <c r="D32" i="65"/>
  <c r="C32" i="65"/>
  <c r="E31" i="65"/>
  <c r="D31" i="65"/>
  <c r="C31" i="65"/>
  <c r="E30" i="65"/>
  <c r="D30" i="65"/>
  <c r="C30" i="65"/>
  <c r="E24" i="65"/>
  <c r="D24" i="65"/>
  <c r="C24" i="65"/>
  <c r="E23" i="65"/>
  <c r="D23" i="65"/>
  <c r="C23" i="65"/>
  <c r="E17" i="65"/>
  <c r="D17" i="65"/>
  <c r="C17" i="65"/>
  <c r="E16" i="65"/>
  <c r="D16" i="65"/>
  <c r="C16" i="65"/>
  <c r="E9" i="65"/>
  <c r="D9" i="65"/>
  <c r="C9" i="65"/>
  <c r="E8" i="65"/>
  <c r="D8" i="65"/>
  <c r="C8" i="65"/>
  <c r="E7" i="65"/>
  <c r="D7" i="65"/>
  <c r="C7" i="65"/>
  <c r="C1" i="65"/>
  <c r="D1" i="65"/>
  <c r="E1" i="65"/>
  <c r="P10" i="57"/>
  <c r="P14" i="57"/>
  <c r="P18" i="57"/>
  <c r="P21" i="57"/>
  <c r="P27" i="57"/>
  <c r="P48" i="57"/>
  <c r="P39" i="57"/>
  <c r="P61" i="57"/>
  <c r="P64" i="57"/>
  <c r="P68" i="57"/>
  <c r="P39" i="68"/>
  <c r="P14" i="68"/>
  <c r="P18" i="68"/>
  <c r="P21" i="68"/>
  <c r="P48" i="68"/>
  <c r="P61" i="68"/>
  <c r="P14" i="74"/>
  <c r="P18" i="74"/>
  <c r="P48" i="74"/>
  <c r="P39" i="74"/>
  <c r="P61" i="74"/>
  <c r="P6" i="69"/>
  <c r="P18" i="69"/>
  <c r="P14" i="69"/>
  <c r="P21" i="69"/>
  <c r="P48" i="69"/>
  <c r="P39" i="69"/>
  <c r="P61" i="69"/>
  <c r="Q10" i="57"/>
  <c r="Q14" i="57"/>
  <c r="Q18" i="57"/>
  <c r="Q21" i="57"/>
  <c r="Q27" i="57"/>
  <c r="Q48" i="57"/>
  <c r="Q39" i="57"/>
  <c r="Q61" i="57"/>
  <c r="Q64" i="57"/>
  <c r="Q68" i="57"/>
  <c r="Q39" i="68"/>
  <c r="Q14" i="68"/>
  <c r="Q18" i="68"/>
  <c r="Q48" i="68"/>
  <c r="Q61" i="68"/>
  <c r="Q14" i="74"/>
  <c r="Q18" i="74"/>
  <c r="Q48" i="74"/>
  <c r="Q39" i="74"/>
  <c r="Q61" i="74"/>
  <c r="Q6" i="69"/>
  <c r="Q14" i="69"/>
  <c r="Q18" i="69"/>
  <c r="Q21" i="69"/>
  <c r="Q48" i="69"/>
  <c r="Q39" i="69"/>
  <c r="Q61" i="69"/>
  <c r="R10" i="57"/>
  <c r="R14" i="57"/>
  <c r="R18" i="57"/>
  <c r="R21" i="57"/>
  <c r="R27" i="57"/>
  <c r="R48" i="57"/>
  <c r="R39" i="57"/>
  <c r="R61" i="57"/>
  <c r="R64" i="57"/>
  <c r="R68" i="57"/>
  <c r="R39" i="68"/>
  <c r="R6" i="68"/>
  <c r="R10" i="68"/>
  <c r="R14" i="68"/>
  <c r="R18" i="68"/>
  <c r="R21" i="68"/>
  <c r="R48" i="68"/>
  <c r="R61" i="68"/>
  <c r="R14" i="74"/>
  <c r="R48" i="74"/>
  <c r="R39" i="74"/>
  <c r="R61" i="74"/>
  <c r="R18" i="69"/>
  <c r="R14" i="69"/>
  <c r="R21" i="69"/>
  <c r="R48" i="69"/>
  <c r="R39" i="69"/>
  <c r="R61" i="69"/>
  <c r="G48" i="57"/>
  <c r="G39" i="57"/>
  <c r="G61" i="57"/>
  <c r="G64" i="57"/>
  <c r="G68" i="57"/>
  <c r="H61" i="57"/>
  <c r="I61" i="57"/>
  <c r="J61" i="57"/>
  <c r="K61" i="57"/>
  <c r="L61" i="57"/>
  <c r="M61" i="57"/>
  <c r="N61" i="57"/>
  <c r="O61" i="57"/>
  <c r="S61" i="57"/>
  <c r="H48" i="57"/>
  <c r="H39" i="57"/>
  <c r="I48" i="57"/>
  <c r="I39" i="57"/>
  <c r="J48" i="57"/>
  <c r="J39" i="57"/>
  <c r="J64" i="57"/>
  <c r="J68" i="57"/>
  <c r="K48" i="57"/>
  <c r="K39" i="57"/>
  <c r="K64" i="57"/>
  <c r="L48" i="57"/>
  <c r="L39" i="57"/>
  <c r="M10" i="57"/>
  <c r="M14" i="57"/>
  <c r="M18" i="57"/>
  <c r="M48" i="57"/>
  <c r="M39" i="57"/>
  <c r="N10" i="57"/>
  <c r="N14" i="57"/>
  <c r="N18" i="57"/>
  <c r="N48" i="57"/>
  <c r="N39" i="57"/>
  <c r="O10" i="57"/>
  <c r="O14" i="57"/>
  <c r="O18" i="57"/>
  <c r="O48" i="57"/>
  <c r="O39" i="57"/>
  <c r="G39" i="68"/>
  <c r="G14" i="68"/>
  <c r="G18" i="68"/>
  <c r="H18" i="68"/>
  <c r="I18" i="68"/>
  <c r="J18" i="68"/>
  <c r="K18" i="68"/>
  <c r="L18" i="68"/>
  <c r="M18" i="68"/>
  <c r="N18" i="68"/>
  <c r="O18" i="68"/>
  <c r="S18" i="68"/>
  <c r="G48" i="68"/>
  <c r="G61" i="68"/>
  <c r="H39" i="68"/>
  <c r="H14" i="68"/>
  <c r="H21" i="68"/>
  <c r="H48" i="68"/>
  <c r="H61" i="68"/>
  <c r="I39" i="68"/>
  <c r="I6" i="68"/>
  <c r="I10" i="68"/>
  <c r="I14" i="68"/>
  <c r="I21" i="68"/>
  <c r="I27" i="68"/>
  <c r="I48" i="68"/>
  <c r="I61" i="68"/>
  <c r="J39" i="68"/>
  <c r="J14" i="68"/>
  <c r="J21" i="68"/>
  <c r="J48" i="68"/>
  <c r="J61" i="68"/>
  <c r="K39" i="68"/>
  <c r="K14" i="68"/>
  <c r="K21" i="68"/>
  <c r="K48" i="68"/>
  <c r="K61" i="68"/>
  <c r="L39" i="68"/>
  <c r="L14" i="68"/>
  <c r="L21" i="68"/>
  <c r="L48" i="68"/>
  <c r="L61" i="68"/>
  <c r="M39" i="68"/>
  <c r="M6" i="68"/>
  <c r="M14" i="68"/>
  <c r="M21" i="68"/>
  <c r="M48" i="68"/>
  <c r="M61" i="68"/>
  <c r="N61" i="68"/>
  <c r="O61" i="68"/>
  <c r="S61" i="68"/>
  <c r="N39" i="68"/>
  <c r="N14" i="68"/>
  <c r="N21" i="68"/>
  <c r="N48" i="68"/>
  <c r="O39" i="68"/>
  <c r="O14" i="68"/>
  <c r="O48" i="68"/>
  <c r="G6" i="74"/>
  <c r="G29" i="74"/>
  <c r="G14" i="74"/>
  <c r="G18" i="74"/>
  <c r="G48" i="74"/>
  <c r="G39" i="74"/>
  <c r="G61" i="74"/>
  <c r="H14" i="74"/>
  <c r="H18" i="74"/>
  <c r="H48" i="74"/>
  <c r="H39" i="74"/>
  <c r="H61" i="74"/>
  <c r="I14" i="74"/>
  <c r="I18" i="74"/>
  <c r="I48" i="74"/>
  <c r="I39" i="74"/>
  <c r="I61" i="74"/>
  <c r="J14" i="74"/>
  <c r="J18" i="74"/>
  <c r="J21" i="74"/>
  <c r="J48" i="74"/>
  <c r="J39" i="74"/>
  <c r="J61" i="74"/>
  <c r="K6" i="74"/>
  <c r="K10" i="74"/>
  <c r="K14" i="74"/>
  <c r="K18" i="74"/>
  <c r="K48" i="74"/>
  <c r="K39" i="74"/>
  <c r="K61" i="74"/>
  <c r="L14" i="74"/>
  <c r="L18" i="74"/>
  <c r="L48" i="74"/>
  <c r="L39" i="74"/>
  <c r="L61" i="74"/>
  <c r="M6" i="74"/>
  <c r="M10" i="74"/>
  <c r="M14" i="74"/>
  <c r="M18" i="74"/>
  <c r="M21" i="74"/>
  <c r="M27" i="74"/>
  <c r="M48" i="74"/>
  <c r="M39" i="74"/>
  <c r="M61" i="74"/>
  <c r="N14" i="74"/>
  <c r="N18" i="74"/>
  <c r="N21" i="74"/>
  <c r="N48" i="74"/>
  <c r="N39" i="74"/>
  <c r="N61" i="74"/>
  <c r="O6" i="74"/>
  <c r="O14" i="74"/>
  <c r="O18" i="74"/>
  <c r="O48" i="74"/>
  <c r="O39" i="74"/>
  <c r="O61" i="74"/>
  <c r="G14" i="69"/>
  <c r="G18" i="69"/>
  <c r="G48" i="69"/>
  <c r="G39" i="69"/>
  <c r="G61" i="69"/>
  <c r="H6" i="69"/>
  <c r="H14" i="69"/>
  <c r="H18" i="69"/>
  <c r="H21" i="69"/>
  <c r="H48" i="69"/>
  <c r="H39" i="69"/>
  <c r="I39" i="69"/>
  <c r="J39" i="69"/>
  <c r="K39" i="69"/>
  <c r="L39" i="69"/>
  <c r="M39" i="69"/>
  <c r="N39" i="69"/>
  <c r="O39" i="69"/>
  <c r="S39" i="69"/>
  <c r="H61" i="69"/>
  <c r="I14" i="69"/>
  <c r="I18" i="69"/>
  <c r="I21" i="69"/>
  <c r="I48" i="69"/>
  <c r="I61" i="69"/>
  <c r="J14" i="69"/>
  <c r="J18" i="69"/>
  <c r="J48" i="69"/>
  <c r="J61" i="69"/>
  <c r="K6" i="69"/>
  <c r="K29" i="69"/>
  <c r="K14" i="69"/>
  <c r="K18" i="69"/>
  <c r="K48" i="69"/>
  <c r="K61" i="69"/>
  <c r="L14" i="69"/>
  <c r="L18" i="69"/>
  <c r="L21" i="69"/>
  <c r="L48" i="69"/>
  <c r="L61" i="69"/>
  <c r="M14" i="69"/>
  <c r="M18" i="69"/>
  <c r="M21" i="69"/>
  <c r="M48" i="69"/>
  <c r="M61" i="69"/>
  <c r="N6" i="69"/>
  <c r="N14" i="69"/>
  <c r="N18" i="69"/>
  <c r="N21" i="69"/>
  <c r="N48" i="69"/>
  <c r="N61" i="69"/>
  <c r="O14" i="69"/>
  <c r="O18" i="69"/>
  <c r="O48" i="69"/>
  <c r="O61" i="69"/>
  <c r="U10" i="57"/>
  <c r="U14" i="57"/>
  <c r="U18" i="57"/>
  <c r="U48" i="57"/>
  <c r="U39" i="57"/>
  <c r="U18" i="60"/>
  <c r="U10" i="60"/>
  <c r="U48" i="60"/>
  <c r="U14" i="74"/>
  <c r="U48" i="74"/>
  <c r="U14" i="55"/>
  <c r="U18" i="55"/>
  <c r="U21" i="55"/>
  <c r="U39" i="55"/>
  <c r="U10" i="66"/>
  <c r="U14" i="66"/>
  <c r="U18" i="66"/>
  <c r="U21" i="66"/>
  <c r="U48" i="66"/>
  <c r="U39" i="66"/>
  <c r="U10" i="63"/>
  <c r="V10" i="63"/>
  <c r="W10" i="63"/>
  <c r="X10" i="63"/>
  <c r="Y10" i="63"/>
  <c r="Z10" i="63"/>
  <c r="AA10" i="63"/>
  <c r="AB10" i="63"/>
  <c r="AC10" i="63"/>
  <c r="AD10" i="63"/>
  <c r="AE10" i="63"/>
  <c r="AF10" i="63"/>
  <c r="AG10" i="63"/>
  <c r="U14" i="63"/>
  <c r="U18" i="63"/>
  <c r="U48" i="63"/>
  <c r="U39" i="63"/>
  <c r="U10" i="59"/>
  <c r="U14" i="59"/>
  <c r="U18" i="59"/>
  <c r="U21" i="59"/>
  <c r="U27" i="59"/>
  <c r="U48" i="59"/>
  <c r="U39" i="59"/>
  <c r="U10" i="58"/>
  <c r="U14" i="58"/>
  <c r="U18" i="58"/>
  <c r="U21" i="58"/>
  <c r="U48" i="58"/>
  <c r="U39" i="58"/>
  <c r="U10" i="61"/>
  <c r="U14" i="61"/>
  <c r="U18" i="61"/>
  <c r="U21" i="61"/>
  <c r="U27" i="61"/>
  <c r="U48" i="61"/>
  <c r="U10" i="62"/>
  <c r="U14" i="62"/>
  <c r="U18" i="62"/>
  <c r="U21" i="62"/>
  <c r="U48" i="62"/>
  <c r="U14" i="68"/>
  <c r="U48" i="68"/>
  <c r="U6" i="69"/>
  <c r="U17" i="69"/>
  <c r="U14" i="69"/>
  <c r="U48" i="69"/>
  <c r="V48" i="69"/>
  <c r="W48" i="69"/>
  <c r="X48" i="69"/>
  <c r="Y48" i="69"/>
  <c r="Z48" i="69"/>
  <c r="AA48" i="69"/>
  <c r="AB48" i="69"/>
  <c r="AC48" i="69"/>
  <c r="AD48" i="69"/>
  <c r="AE48" i="69"/>
  <c r="AF48" i="69"/>
  <c r="AG48" i="69"/>
  <c r="V10" i="57"/>
  <c r="V14" i="57"/>
  <c r="V18" i="57"/>
  <c r="V48" i="57"/>
  <c r="V39" i="57"/>
  <c r="V18" i="60"/>
  <c r="V10" i="60"/>
  <c r="V48" i="60"/>
  <c r="V14" i="74"/>
  <c r="V48" i="74"/>
  <c r="V14" i="55"/>
  <c r="V18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V10" i="66"/>
  <c r="V14" i="66"/>
  <c r="V18" i="66"/>
  <c r="V21" i="66"/>
  <c r="V48" i="66"/>
  <c r="V39" i="66"/>
  <c r="V14" i="63"/>
  <c r="V18" i="63"/>
  <c r="V48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V10" i="59"/>
  <c r="V14" i="59"/>
  <c r="V18" i="59"/>
  <c r="V21" i="59"/>
  <c r="V27" i="59"/>
  <c r="V48" i="59"/>
  <c r="V39" i="59"/>
  <c r="V10" i="58"/>
  <c r="V14" i="58"/>
  <c r="V18" i="58"/>
  <c r="V21" i="58"/>
  <c r="V27" i="58"/>
  <c r="V48" i="58"/>
  <c r="V39" i="58"/>
  <c r="V10" i="61"/>
  <c r="V14" i="61"/>
  <c r="V18" i="61"/>
  <c r="V21" i="61"/>
  <c r="V27" i="61"/>
  <c r="V48" i="61"/>
  <c r="V10" i="62"/>
  <c r="V14" i="62"/>
  <c r="V18" i="62"/>
  <c r="V21" i="62"/>
  <c r="V27" i="62"/>
  <c r="V48" i="62"/>
  <c r="V14" i="68"/>
  <c r="V22" i="68"/>
  <c r="V48" i="68"/>
  <c r="V6" i="69"/>
  <c r="V14" i="69"/>
  <c r="W10" i="57"/>
  <c r="W14" i="57"/>
  <c r="W18" i="57"/>
  <c r="W21" i="57"/>
  <c r="W27" i="57"/>
  <c r="W48" i="57"/>
  <c r="W39" i="57"/>
  <c r="W18" i="60"/>
  <c r="W10" i="60"/>
  <c r="W48" i="60"/>
  <c r="W14" i="74"/>
  <c r="W48" i="74"/>
  <c r="W14" i="55"/>
  <c r="W18" i="55"/>
  <c r="W21" i="55"/>
  <c r="W10" i="66"/>
  <c r="W14" i="66"/>
  <c r="W18" i="66"/>
  <c r="W21" i="66"/>
  <c r="W27" i="66"/>
  <c r="W48" i="66"/>
  <c r="W39" i="66"/>
  <c r="W14" i="63"/>
  <c r="W18" i="63"/>
  <c r="W21" i="63"/>
  <c r="W27" i="63"/>
  <c r="W48" i="63"/>
  <c r="W10" i="59"/>
  <c r="W14" i="59"/>
  <c r="W18" i="59"/>
  <c r="W21" i="59"/>
  <c r="W27" i="59"/>
  <c r="W48" i="59"/>
  <c r="W39" i="59"/>
  <c r="W10" i="58"/>
  <c r="W14" i="58"/>
  <c r="W18" i="58"/>
  <c r="W21" i="58"/>
  <c r="W27" i="58"/>
  <c r="W33" i="58"/>
  <c r="W48" i="58"/>
  <c r="W39" i="58"/>
  <c r="W10" i="61"/>
  <c r="W14" i="61"/>
  <c r="W18" i="61"/>
  <c r="W21" i="61"/>
  <c r="W27" i="61"/>
  <c r="W48" i="61"/>
  <c r="W10" i="62"/>
  <c r="W14" i="62"/>
  <c r="W18" i="62"/>
  <c r="W21" i="62"/>
  <c r="W27" i="62"/>
  <c r="W48" i="62"/>
  <c r="W14" i="68"/>
  <c r="W48" i="68"/>
  <c r="W6" i="69"/>
  <c r="W15" i="69"/>
  <c r="W14" i="69"/>
  <c r="X10" i="57"/>
  <c r="X14" i="57"/>
  <c r="X18" i="57"/>
  <c r="X48" i="57"/>
  <c r="X39" i="57"/>
  <c r="X18" i="60"/>
  <c r="X10" i="60"/>
  <c r="X48" i="60"/>
  <c r="X14" i="74"/>
  <c r="X48" i="74"/>
  <c r="X14" i="55"/>
  <c r="X18" i="55"/>
  <c r="X10" i="66"/>
  <c r="X14" i="66"/>
  <c r="X18" i="66"/>
  <c r="X48" i="66"/>
  <c r="X39" i="66"/>
  <c r="X14" i="63"/>
  <c r="X18" i="63"/>
  <c r="X48" i="63"/>
  <c r="X10" i="59"/>
  <c r="X14" i="59"/>
  <c r="X18" i="59"/>
  <c r="X21" i="59"/>
  <c r="X27" i="59"/>
  <c r="X33" i="59"/>
  <c r="X48" i="59"/>
  <c r="X39" i="59"/>
  <c r="X10" i="58"/>
  <c r="X14" i="58"/>
  <c r="X18" i="58"/>
  <c r="X48" i="58"/>
  <c r="X39" i="58"/>
  <c r="X10" i="61"/>
  <c r="X14" i="61"/>
  <c r="X18" i="61"/>
  <c r="X48" i="61"/>
  <c r="X10" i="62"/>
  <c r="X14" i="62"/>
  <c r="X18" i="62"/>
  <c r="X48" i="62"/>
  <c r="X14" i="68"/>
  <c r="X48" i="68"/>
  <c r="X6" i="69"/>
  <c r="X10" i="69"/>
  <c r="X14" i="69"/>
  <c r="Y10" i="57"/>
  <c r="Y14" i="57"/>
  <c r="Y18" i="57"/>
  <c r="Y21" i="57"/>
  <c r="Y27" i="57"/>
  <c r="Y48" i="57"/>
  <c r="Y39" i="57"/>
  <c r="Y18" i="60"/>
  <c r="Y23" i="60"/>
  <c r="U23" i="60"/>
  <c r="V23" i="60"/>
  <c r="W23" i="60"/>
  <c r="X23" i="60"/>
  <c r="Z18" i="60"/>
  <c r="Z23" i="60"/>
  <c r="AA18" i="60"/>
  <c r="AA23" i="60"/>
  <c r="AB18" i="60"/>
  <c r="AB23" i="60"/>
  <c r="AC18" i="60"/>
  <c r="AC23" i="60"/>
  <c r="AD18" i="60"/>
  <c r="AD23" i="60"/>
  <c r="AE18" i="60"/>
  <c r="AE23" i="60"/>
  <c r="AF18" i="60"/>
  <c r="AF23" i="60"/>
  <c r="AG23" i="60"/>
  <c r="Y10" i="60"/>
  <c r="Y48" i="60"/>
  <c r="Y14" i="74"/>
  <c r="Y48" i="74"/>
  <c r="Y14" i="55"/>
  <c r="Y18" i="55"/>
  <c r="Y21" i="55"/>
  <c r="Y10" i="66"/>
  <c r="Y14" i="66"/>
  <c r="Y18" i="66"/>
  <c r="Y21" i="66"/>
  <c r="Y27" i="66"/>
  <c r="Y33" i="66"/>
  <c r="Y48" i="66"/>
  <c r="Y39" i="66"/>
  <c r="Z14" i="63"/>
  <c r="Z18" i="63"/>
  <c r="Z21" i="63"/>
  <c r="Z27" i="63"/>
  <c r="Y14" i="63"/>
  <c r="Y18" i="63"/>
  <c r="Y21" i="63"/>
  <c r="Y27" i="63"/>
  <c r="Y48" i="63"/>
  <c r="Y10" i="59"/>
  <c r="Y14" i="59"/>
  <c r="Y18" i="59"/>
  <c r="Y48" i="59"/>
  <c r="Z48" i="59"/>
  <c r="AA48" i="59"/>
  <c r="AB48" i="59"/>
  <c r="AC48" i="59"/>
  <c r="AD48" i="59"/>
  <c r="AE48" i="59"/>
  <c r="AF48" i="59"/>
  <c r="AG48" i="59"/>
  <c r="Y39" i="59"/>
  <c r="Y10" i="58"/>
  <c r="Y14" i="58"/>
  <c r="Y18" i="58"/>
  <c r="Y48" i="58"/>
  <c r="Y39" i="58"/>
  <c r="Y10" i="61"/>
  <c r="Y14" i="61"/>
  <c r="Y18" i="61"/>
  <c r="Y48" i="61"/>
  <c r="Y10" i="62"/>
  <c r="Y14" i="62"/>
  <c r="Y18" i="62"/>
  <c r="Y21" i="62"/>
  <c r="Y27" i="62"/>
  <c r="Y48" i="62"/>
  <c r="Y14" i="68"/>
  <c r="Y48" i="68"/>
  <c r="Y6" i="69"/>
  <c r="Y15" i="69"/>
  <c r="Y17" i="69"/>
  <c r="Y14" i="69"/>
  <c r="Y10" i="69"/>
  <c r="Z10" i="57"/>
  <c r="Z14" i="57"/>
  <c r="Z18" i="57"/>
  <c r="Z21" i="57"/>
  <c r="Z27" i="57"/>
  <c r="Z33" i="57"/>
  <c r="Z48" i="57"/>
  <c r="Z39" i="57"/>
  <c r="Z10" i="60"/>
  <c r="Z48" i="60"/>
  <c r="Z14" i="74"/>
  <c r="Z48" i="74"/>
  <c r="Z14" i="55"/>
  <c r="Z18" i="55"/>
  <c r="Z21" i="55"/>
  <c r="Z10" i="66"/>
  <c r="Z14" i="66"/>
  <c r="Z18" i="66"/>
  <c r="Z48" i="66"/>
  <c r="Z39" i="66"/>
  <c r="Z48" i="63"/>
  <c r="Z10" i="59"/>
  <c r="Z14" i="59"/>
  <c r="Z18" i="59"/>
  <c r="Z21" i="59"/>
  <c r="Z27" i="59"/>
  <c r="Z33" i="59"/>
  <c r="Z39" i="59"/>
  <c r="Z10" i="58"/>
  <c r="Z14" i="58"/>
  <c r="Z18" i="58"/>
  <c r="Z48" i="58"/>
  <c r="Z39" i="58"/>
  <c r="Z10" i="61"/>
  <c r="Z14" i="61"/>
  <c r="Z18" i="61"/>
  <c r="Z21" i="61"/>
  <c r="Z27" i="61"/>
  <c r="Z33" i="61"/>
  <c r="Z48" i="61"/>
  <c r="Z10" i="62"/>
  <c r="Z14" i="62"/>
  <c r="Z18" i="62"/>
  <c r="Z48" i="62"/>
  <c r="Z14" i="68"/>
  <c r="Z48" i="68"/>
  <c r="Z6" i="69"/>
  <c r="Z14" i="69"/>
  <c r="AA10" i="57"/>
  <c r="AA14" i="57"/>
  <c r="AA18" i="57"/>
  <c r="AA48" i="57"/>
  <c r="AA39" i="57"/>
  <c r="AA10" i="60"/>
  <c r="AA48" i="60"/>
  <c r="AA14" i="74"/>
  <c r="AA22" i="74"/>
  <c r="AA48" i="74"/>
  <c r="AA14" i="55"/>
  <c r="AA18" i="55"/>
  <c r="AA10" i="66"/>
  <c r="AA14" i="66"/>
  <c r="AA18" i="66"/>
  <c r="AA21" i="66"/>
  <c r="AA27" i="66"/>
  <c r="AA33" i="66"/>
  <c r="AA48" i="66"/>
  <c r="AA39" i="66"/>
  <c r="AA14" i="63"/>
  <c r="AA18" i="63"/>
  <c r="AA23" i="63"/>
  <c r="AA48" i="63"/>
  <c r="AA10" i="59"/>
  <c r="AA14" i="59"/>
  <c r="AA18" i="59"/>
  <c r="AA21" i="59"/>
  <c r="AA27" i="59"/>
  <c r="AA39" i="59"/>
  <c r="AA10" i="58"/>
  <c r="AA14" i="58"/>
  <c r="AA18" i="58"/>
  <c r="AA21" i="58"/>
  <c r="AA27" i="58"/>
  <c r="AA33" i="58"/>
  <c r="AA48" i="58"/>
  <c r="AA39" i="58"/>
  <c r="AA10" i="61"/>
  <c r="AA14" i="61"/>
  <c r="AA18" i="61"/>
  <c r="AA21" i="61"/>
  <c r="AA48" i="61"/>
  <c r="AA10" i="62"/>
  <c r="AA14" i="62"/>
  <c r="AA18" i="62"/>
  <c r="AA21" i="62"/>
  <c r="AA27" i="62"/>
  <c r="AA48" i="62"/>
  <c r="AA14" i="68"/>
  <c r="AA48" i="68"/>
  <c r="AA14" i="69"/>
  <c r="CO5" i="40"/>
  <c r="CA5" i="40"/>
  <c r="CB5" i="40"/>
  <c r="X9" i="40"/>
  <c r="V9" i="40"/>
  <c r="AD9" i="40"/>
  <c r="AE18" i="80"/>
  <c r="AE19" i="80"/>
  <c r="AE21" i="80"/>
  <c r="AE23" i="80"/>
  <c r="AE24" i="80"/>
  <c r="AE25" i="80"/>
  <c r="AE26" i="80"/>
  <c r="AE27" i="80"/>
  <c r="AE28" i="80"/>
  <c r="AE29" i="80"/>
  <c r="Q18" i="80"/>
  <c r="Q19" i="80"/>
  <c r="Q20" i="80"/>
  <c r="Q21" i="80"/>
  <c r="Q23" i="80"/>
  <c r="Q24" i="80"/>
  <c r="Q25" i="80"/>
  <c r="Q26" i="80"/>
  <c r="Q27" i="80"/>
  <c r="Q28" i="80"/>
  <c r="Q29" i="80"/>
  <c r="P18" i="80"/>
  <c r="P19" i="80"/>
  <c r="P20" i="80"/>
  <c r="P21" i="80"/>
  <c r="P22" i="80"/>
  <c r="P23" i="80"/>
  <c r="P24" i="80"/>
  <c r="P25" i="80"/>
  <c r="P26" i="80"/>
  <c r="P27" i="80"/>
  <c r="P28" i="80"/>
  <c r="P29" i="80"/>
  <c r="O18" i="80"/>
  <c r="O19" i="80"/>
  <c r="O20" i="80"/>
  <c r="O21" i="80"/>
  <c r="O22" i="80"/>
  <c r="O23" i="80"/>
  <c r="O24" i="80"/>
  <c r="O25" i="80"/>
  <c r="O26" i="80"/>
  <c r="O27" i="80"/>
  <c r="O28" i="80"/>
  <c r="O29" i="80"/>
  <c r="N18" i="80"/>
  <c r="N19" i="80"/>
  <c r="N20" i="80"/>
  <c r="N21" i="80"/>
  <c r="N22" i="80"/>
  <c r="N23" i="80"/>
  <c r="N24" i="80"/>
  <c r="N25" i="80"/>
  <c r="N26" i="80"/>
  <c r="N27" i="80"/>
  <c r="N28" i="80"/>
  <c r="N29" i="80"/>
  <c r="N30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L18" i="80"/>
  <c r="L19" i="80"/>
  <c r="L20" i="80"/>
  <c r="L21" i="80"/>
  <c r="L22" i="80"/>
  <c r="L23" i="80"/>
  <c r="L24" i="80"/>
  <c r="L25" i="80"/>
  <c r="L26" i="80"/>
  <c r="L27" i="80"/>
  <c r="L28" i="80"/>
  <c r="L29" i="80"/>
  <c r="K18" i="80"/>
  <c r="K19" i="80"/>
  <c r="K20" i="80"/>
  <c r="K21" i="80"/>
  <c r="K22" i="80"/>
  <c r="K23" i="80"/>
  <c r="K24" i="80"/>
  <c r="K25" i="80"/>
  <c r="K26" i="80"/>
  <c r="K27" i="80"/>
  <c r="K28" i="80"/>
  <c r="K29" i="80"/>
  <c r="J18" i="80"/>
  <c r="J19" i="80"/>
  <c r="J20" i="80"/>
  <c r="J21" i="80"/>
  <c r="J22" i="80"/>
  <c r="J23" i="80"/>
  <c r="J24" i="80"/>
  <c r="J25" i="80"/>
  <c r="J26" i="80"/>
  <c r="J27" i="80"/>
  <c r="J28" i="80"/>
  <c r="J29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H18" i="80"/>
  <c r="H19" i="80"/>
  <c r="H20" i="80"/>
  <c r="H21" i="80"/>
  <c r="H22" i="80"/>
  <c r="H23" i="80"/>
  <c r="H24" i="80"/>
  <c r="H25" i="80"/>
  <c r="H26" i="80"/>
  <c r="H27" i="80"/>
  <c r="H28" i="80"/>
  <c r="H29" i="80"/>
  <c r="H30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Q14" i="80"/>
  <c r="Q22" i="80"/>
  <c r="P14" i="80"/>
  <c r="O14" i="80"/>
  <c r="N14" i="80"/>
  <c r="M14" i="80"/>
  <c r="L14" i="80"/>
  <c r="K14" i="80"/>
  <c r="J14" i="80"/>
  <c r="I14" i="80"/>
  <c r="H14" i="80"/>
  <c r="G14" i="80"/>
  <c r="F14" i="80"/>
  <c r="E14" i="80"/>
  <c r="AE18" i="79"/>
  <c r="AE19" i="79"/>
  <c r="AE20" i="79"/>
  <c r="AE24" i="79"/>
  <c r="AE25" i="79"/>
  <c r="AE26" i="79"/>
  <c r="AE27" i="79"/>
  <c r="AE28" i="79"/>
  <c r="AE29" i="79"/>
  <c r="Q18" i="79"/>
  <c r="Q19" i="79"/>
  <c r="Q20" i="79"/>
  <c r="Q23" i="79"/>
  <c r="Q25" i="79"/>
  <c r="Q26" i="79"/>
  <c r="Q27" i="79"/>
  <c r="Q28" i="79"/>
  <c r="Q29" i="79"/>
  <c r="P18" i="79"/>
  <c r="P19" i="79"/>
  <c r="P20" i="79"/>
  <c r="P21" i="79"/>
  <c r="P22" i="79"/>
  <c r="P23" i="79"/>
  <c r="P24" i="79"/>
  <c r="P25" i="79"/>
  <c r="P26" i="79"/>
  <c r="P27" i="79"/>
  <c r="P28" i="79"/>
  <c r="P29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M18" i="79"/>
  <c r="M19" i="79"/>
  <c r="M20" i="79"/>
  <c r="M21" i="79"/>
  <c r="M22" i="79"/>
  <c r="M23" i="79"/>
  <c r="M24" i="79"/>
  <c r="M25" i="79"/>
  <c r="M26" i="79"/>
  <c r="M27" i="79"/>
  <c r="M28" i="79"/>
  <c r="M29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AD14" i="79"/>
  <c r="AB14" i="79"/>
  <c r="T14" i="79"/>
  <c r="P14" i="79"/>
  <c r="O14" i="79"/>
  <c r="N14" i="79"/>
  <c r="M14" i="79"/>
  <c r="L14" i="79"/>
  <c r="K14" i="79"/>
  <c r="J14" i="79"/>
  <c r="I14" i="79"/>
  <c r="H14" i="79"/>
  <c r="G14" i="79"/>
  <c r="F14" i="79"/>
  <c r="E14" i="79"/>
  <c r="BK30" i="25"/>
  <c r="D5" i="54"/>
  <c r="C5" i="54"/>
  <c r="J9" i="55"/>
  <c r="L9" i="55"/>
  <c r="L32" i="55"/>
  <c r="O9" i="55"/>
  <c r="O32" i="55"/>
  <c r="P9" i="55"/>
  <c r="AG23" i="54"/>
  <c r="S23" i="54"/>
  <c r="AG22" i="54"/>
  <c r="S22" i="54"/>
  <c r="D22" i="54"/>
  <c r="AG21" i="54"/>
  <c r="S21" i="54"/>
  <c r="D21" i="54"/>
  <c r="AG20" i="54"/>
  <c r="S20" i="54"/>
  <c r="D20" i="54"/>
  <c r="AG19" i="54"/>
  <c r="S19" i="54"/>
  <c r="D19" i="54"/>
  <c r="AG18" i="54"/>
  <c r="S18" i="54"/>
  <c r="D18" i="54"/>
  <c r="AG17" i="54"/>
  <c r="S17" i="54"/>
  <c r="E16" i="54"/>
  <c r="D16" i="54"/>
  <c r="E15" i="54"/>
  <c r="D15" i="54"/>
  <c r="AG14" i="54"/>
  <c r="S14" i="54"/>
  <c r="D14" i="54"/>
  <c r="AG13" i="54"/>
  <c r="S13" i="54"/>
  <c r="D13" i="54"/>
  <c r="AG12" i="54"/>
  <c r="S12" i="54"/>
  <c r="D12" i="54"/>
  <c r="AG11" i="54"/>
  <c r="S11" i="54"/>
  <c r="D11" i="54"/>
  <c r="AG10" i="54"/>
  <c r="S10" i="54"/>
  <c r="D10" i="54"/>
  <c r="E9" i="54"/>
  <c r="D9" i="54"/>
  <c r="AG8" i="54"/>
  <c r="S8" i="54"/>
  <c r="D8" i="54"/>
  <c r="E5" i="54"/>
  <c r="V11" i="53"/>
  <c r="Y11" i="53"/>
  <c r="Z11" i="53"/>
  <c r="AD11" i="53"/>
  <c r="AG19" i="53"/>
  <c r="P11" i="53"/>
  <c r="W11" i="53"/>
  <c r="AA11" i="53"/>
  <c r="I7" i="53"/>
  <c r="I8" i="53"/>
  <c r="M7" i="53"/>
  <c r="M8" i="53"/>
  <c r="O7" i="53"/>
  <c r="O8" i="53"/>
  <c r="Q7" i="53"/>
  <c r="Q8" i="53"/>
  <c r="E7" i="53"/>
  <c r="E8" i="53"/>
  <c r="D7" i="53"/>
  <c r="D8" i="53"/>
  <c r="C7" i="53"/>
  <c r="C8" i="53"/>
  <c r="AH13" i="51"/>
  <c r="AH14" i="51"/>
  <c r="AH15" i="51"/>
  <c r="AH17" i="51"/>
  <c r="AH18" i="51"/>
  <c r="AH19" i="51"/>
  <c r="AH20" i="51"/>
  <c r="AH21" i="51"/>
  <c r="AH22" i="51"/>
  <c r="AH23" i="51"/>
  <c r="AH24" i="51"/>
  <c r="AH26" i="51"/>
  <c r="AH25" i="51"/>
  <c r="AG22" i="51"/>
  <c r="AG28" i="51"/>
  <c r="AG21" i="51"/>
  <c r="AG20" i="51"/>
  <c r="I7" i="51"/>
  <c r="I8" i="51"/>
  <c r="K7" i="51"/>
  <c r="K8" i="51"/>
  <c r="M7" i="51"/>
  <c r="M8" i="51"/>
  <c r="O7" i="51"/>
  <c r="O8" i="51"/>
  <c r="Q7" i="51"/>
  <c r="Q8" i="51"/>
  <c r="C7" i="51"/>
  <c r="C8" i="51"/>
  <c r="I47" i="49"/>
  <c r="I48" i="49"/>
  <c r="M47" i="49"/>
  <c r="M48" i="49"/>
  <c r="O47" i="49"/>
  <c r="O48" i="49"/>
  <c r="S14" i="49"/>
  <c r="AI14" i="49"/>
  <c r="AG26" i="49"/>
  <c r="AG25" i="49"/>
  <c r="AG47" i="49"/>
  <c r="S45" i="49"/>
  <c r="AI45" i="49"/>
  <c r="S44" i="49"/>
  <c r="AI44" i="49"/>
  <c r="S43" i="49"/>
  <c r="AI43" i="49"/>
  <c r="S42" i="49"/>
  <c r="AI42" i="49"/>
  <c r="S41" i="49"/>
  <c r="AI41" i="49"/>
  <c r="AG41" i="49"/>
  <c r="S40" i="49"/>
  <c r="AI40" i="49"/>
  <c r="S39" i="49"/>
  <c r="AI39" i="49"/>
  <c r="S38" i="49"/>
  <c r="AI38" i="49"/>
  <c r="S36" i="49"/>
  <c r="AI36" i="49"/>
  <c r="AG36" i="49"/>
  <c r="AG35" i="49"/>
  <c r="S35" i="49"/>
  <c r="S34" i="49"/>
  <c r="AI34" i="49"/>
  <c r="S33" i="49"/>
  <c r="AI33" i="49"/>
  <c r="S32" i="49"/>
  <c r="AI32" i="49"/>
  <c r="S30" i="49"/>
  <c r="AI30" i="49"/>
  <c r="S29" i="49"/>
  <c r="AI29" i="49"/>
  <c r="S28" i="49"/>
  <c r="AI28" i="49"/>
  <c r="S27" i="49"/>
  <c r="AI27" i="49"/>
  <c r="S26" i="49"/>
  <c r="AI26" i="49"/>
  <c r="S25" i="49"/>
  <c r="AI25" i="49"/>
  <c r="S24" i="49"/>
  <c r="AI24" i="49"/>
  <c r="S23" i="49"/>
  <c r="AI23" i="49"/>
  <c r="S22" i="49"/>
  <c r="AI22" i="49"/>
  <c r="AG22" i="49"/>
  <c r="S21" i="49"/>
  <c r="AI21" i="49"/>
  <c r="S20" i="49"/>
  <c r="AI20" i="49"/>
  <c r="S19" i="49"/>
  <c r="AI19" i="49"/>
  <c r="S18" i="49"/>
  <c r="AI18" i="49"/>
  <c r="S16" i="49"/>
  <c r="AI16" i="49"/>
  <c r="I9" i="49"/>
  <c r="I10" i="49"/>
  <c r="I11" i="49"/>
  <c r="Q9" i="49"/>
  <c r="M9" i="49"/>
  <c r="M10" i="49"/>
  <c r="M11" i="49"/>
  <c r="C9" i="49"/>
  <c r="C10" i="49"/>
  <c r="C11" i="49"/>
  <c r="M48" i="55"/>
  <c r="N48" i="55"/>
  <c r="O10" i="55"/>
  <c r="O48" i="55"/>
  <c r="P48" i="55"/>
  <c r="Q48" i="55"/>
  <c r="R48" i="55"/>
  <c r="G48" i="55"/>
  <c r="H48" i="55"/>
  <c r="I48" i="55"/>
  <c r="J48" i="55"/>
  <c r="K48" i="55"/>
  <c r="L48" i="55"/>
  <c r="AF32" i="14"/>
  <c r="I32" i="14"/>
  <c r="I31" i="14"/>
  <c r="AE23" i="78"/>
  <c r="AE24" i="78"/>
  <c r="Q23" i="78"/>
  <c r="Q24" i="78"/>
  <c r="P24" i="78"/>
  <c r="O24" i="78"/>
  <c r="N24" i="78"/>
  <c r="M24" i="78"/>
  <c r="L24" i="78"/>
  <c r="K24" i="78"/>
  <c r="J24" i="78"/>
  <c r="I24" i="78"/>
  <c r="H24" i="78"/>
  <c r="G24" i="78"/>
  <c r="F24" i="78"/>
  <c r="E24" i="78"/>
  <c r="Q5" i="78"/>
  <c r="Q22" i="78"/>
  <c r="P20" i="78"/>
  <c r="AE5" i="78"/>
  <c r="AE17" i="78"/>
  <c r="AE6" i="78"/>
  <c r="AE7" i="78"/>
  <c r="AE21" i="78"/>
  <c r="AE8" i="78"/>
  <c r="AE9" i="78"/>
  <c r="AE10" i="78"/>
  <c r="AE11" i="78"/>
  <c r="AE12" i="78"/>
  <c r="AE25" i="78"/>
  <c r="AE26" i="78"/>
  <c r="AE27" i="78"/>
  <c r="AE28" i="78"/>
  <c r="AE22" i="78"/>
  <c r="Q21" i="78"/>
  <c r="Q19" i="78"/>
  <c r="Q25" i="78"/>
  <c r="Q26" i="78"/>
  <c r="Q27" i="78"/>
  <c r="Q28" i="78"/>
  <c r="Q18" i="78"/>
  <c r="P23" i="78"/>
  <c r="P25" i="78"/>
  <c r="P26" i="78"/>
  <c r="P27" i="78"/>
  <c r="P28" i="78"/>
  <c r="P19" i="78"/>
  <c r="P17" i="78"/>
  <c r="P18" i="78"/>
  <c r="P21" i="78"/>
  <c r="P22" i="78"/>
  <c r="O23" i="78"/>
  <c r="O25" i="78"/>
  <c r="O26" i="78"/>
  <c r="O27" i="78"/>
  <c r="O28" i="78"/>
  <c r="O19" i="78"/>
  <c r="O17" i="78"/>
  <c r="O18" i="78"/>
  <c r="O20" i="78"/>
  <c r="O21" i="78"/>
  <c r="O22" i="78"/>
  <c r="N23" i="78"/>
  <c r="N25" i="78"/>
  <c r="N26" i="78"/>
  <c r="N27" i="78"/>
  <c r="N28" i="78"/>
  <c r="N19" i="78"/>
  <c r="N17" i="78"/>
  <c r="N18" i="78"/>
  <c r="N20" i="78"/>
  <c r="N21" i="78"/>
  <c r="N22" i="78"/>
  <c r="M23" i="78"/>
  <c r="M25" i="78"/>
  <c r="M26" i="78"/>
  <c r="M27" i="78"/>
  <c r="M28" i="78"/>
  <c r="M19" i="78"/>
  <c r="M17" i="78"/>
  <c r="M18" i="78"/>
  <c r="M20" i="78"/>
  <c r="M21" i="78"/>
  <c r="M22" i="78"/>
  <c r="L23" i="78"/>
  <c r="L25" i="78"/>
  <c r="L26" i="78"/>
  <c r="L27" i="78"/>
  <c r="L28" i="78"/>
  <c r="L19" i="78"/>
  <c r="L17" i="78"/>
  <c r="L18" i="78"/>
  <c r="L20" i="78"/>
  <c r="L21" i="78"/>
  <c r="L22" i="78"/>
  <c r="K23" i="78"/>
  <c r="K25" i="78"/>
  <c r="K26" i="78"/>
  <c r="K27" i="78"/>
  <c r="K28" i="78"/>
  <c r="K19" i="78"/>
  <c r="K17" i="78"/>
  <c r="K18" i="78"/>
  <c r="K20" i="78"/>
  <c r="K21" i="78"/>
  <c r="K22" i="78"/>
  <c r="J23" i="78"/>
  <c r="J25" i="78"/>
  <c r="J26" i="78"/>
  <c r="J27" i="78"/>
  <c r="J28" i="78"/>
  <c r="J19" i="78"/>
  <c r="J17" i="78"/>
  <c r="J18" i="78"/>
  <c r="J20" i="78"/>
  <c r="J21" i="78"/>
  <c r="J22" i="78"/>
  <c r="J29" i="78"/>
  <c r="I23" i="78"/>
  <c r="I25" i="78"/>
  <c r="I26" i="78"/>
  <c r="I27" i="78"/>
  <c r="I28" i="78"/>
  <c r="I19" i="78"/>
  <c r="I17" i="78"/>
  <c r="I18" i="78"/>
  <c r="I20" i="78"/>
  <c r="I21" i="78"/>
  <c r="I22" i="78"/>
  <c r="I29" i="78"/>
  <c r="H23" i="78"/>
  <c r="H25" i="78"/>
  <c r="H26" i="78"/>
  <c r="H27" i="78"/>
  <c r="H28" i="78"/>
  <c r="H19" i="78"/>
  <c r="H17" i="78"/>
  <c r="H18" i="78"/>
  <c r="H20" i="78"/>
  <c r="H21" i="78"/>
  <c r="H22" i="78"/>
  <c r="G23" i="78"/>
  <c r="G25" i="78"/>
  <c r="G26" i="78"/>
  <c r="G27" i="78"/>
  <c r="G28" i="78"/>
  <c r="G19" i="78"/>
  <c r="G17" i="78"/>
  <c r="G18" i="78"/>
  <c r="G20" i="78"/>
  <c r="G21" i="78"/>
  <c r="G22" i="78"/>
  <c r="F23" i="78"/>
  <c r="F25" i="78"/>
  <c r="F26" i="78"/>
  <c r="F27" i="78"/>
  <c r="F28" i="78"/>
  <c r="F19" i="78"/>
  <c r="F17" i="78"/>
  <c r="F18" i="78"/>
  <c r="F20" i="78"/>
  <c r="F21" i="78"/>
  <c r="F22" i="78"/>
  <c r="F29" i="78"/>
  <c r="E23" i="78"/>
  <c r="E25" i="78"/>
  <c r="E26" i="78"/>
  <c r="E27" i="78"/>
  <c r="E28" i="78"/>
  <c r="E19" i="78"/>
  <c r="E17" i="78"/>
  <c r="E18" i="78"/>
  <c r="E20" i="78"/>
  <c r="E21" i="78"/>
  <c r="E22" i="78"/>
  <c r="DY8" i="40"/>
  <c r="DY9" i="40"/>
  <c r="DY18" i="40"/>
  <c r="DY6" i="40"/>
  <c r="DY7" i="40"/>
  <c r="Z8" i="40"/>
  <c r="Z13" i="40"/>
  <c r="AD8" i="40"/>
  <c r="AD13" i="40"/>
  <c r="S8" i="40"/>
  <c r="T8" i="40"/>
  <c r="U8" i="40"/>
  <c r="V8" i="40"/>
  <c r="W8" i="40"/>
  <c r="X8" i="40"/>
  <c r="Y8" i="40"/>
  <c r="Y13" i="40"/>
  <c r="AA8" i="40"/>
  <c r="AB8" i="40"/>
  <c r="AC8" i="40"/>
  <c r="AC13" i="40"/>
  <c r="AB14" i="40"/>
  <c r="S9" i="40"/>
  <c r="T9" i="40"/>
  <c r="U9" i="40"/>
  <c r="W9" i="40"/>
  <c r="Y9" i="40"/>
  <c r="Y18" i="40"/>
  <c r="Z9" i="40"/>
  <c r="AA9" i="40"/>
  <c r="AB9" i="40"/>
  <c r="AC9" i="40"/>
  <c r="AC18" i="40"/>
  <c r="S6" i="40"/>
  <c r="T6" i="40"/>
  <c r="U6" i="40"/>
  <c r="V6" i="40"/>
  <c r="W6" i="40"/>
  <c r="X6" i="40"/>
  <c r="Y6" i="40"/>
  <c r="Z6" i="40"/>
  <c r="AA6" i="40"/>
  <c r="AB6" i="40"/>
  <c r="AC6" i="40"/>
  <c r="AD6" i="40"/>
  <c r="S7" i="40"/>
  <c r="T7" i="40"/>
  <c r="U7" i="40"/>
  <c r="V7" i="40"/>
  <c r="W7" i="40"/>
  <c r="X7" i="40"/>
  <c r="Y7" i="40"/>
  <c r="Z7" i="40"/>
  <c r="AA7" i="40"/>
  <c r="AB7" i="40"/>
  <c r="AC7" i="40"/>
  <c r="AD7" i="40"/>
  <c r="BU7" i="40"/>
  <c r="BT5" i="40"/>
  <c r="BL5" i="40"/>
  <c r="DX5" i="40"/>
  <c r="DW5" i="40"/>
  <c r="DV5" i="40"/>
  <c r="DU5" i="40"/>
  <c r="DT5" i="40"/>
  <c r="DS5" i="40"/>
  <c r="DR5" i="40"/>
  <c r="DQ5" i="40"/>
  <c r="DP5" i="40"/>
  <c r="DO5" i="40"/>
  <c r="DN5" i="40"/>
  <c r="DM5" i="40"/>
  <c r="BS5" i="40"/>
  <c r="BR5" i="40"/>
  <c r="BQ5" i="40"/>
  <c r="BP5" i="40"/>
  <c r="BO5" i="40"/>
  <c r="BN5" i="40"/>
  <c r="BM5" i="40"/>
  <c r="BK5" i="40"/>
  <c r="BJ5" i="40"/>
  <c r="BI5" i="40"/>
  <c r="S59" i="41"/>
  <c r="E49" i="41"/>
  <c r="K19" i="41"/>
  <c r="J19" i="41"/>
  <c r="I19" i="41"/>
  <c r="H19" i="41"/>
  <c r="G61" i="60"/>
  <c r="G48" i="60"/>
  <c r="G39" i="60"/>
  <c r="G64" i="60"/>
  <c r="H61" i="60"/>
  <c r="I61" i="60"/>
  <c r="J61" i="60"/>
  <c r="K61" i="60"/>
  <c r="L61" i="60"/>
  <c r="M61" i="60"/>
  <c r="N61" i="60"/>
  <c r="O61" i="60"/>
  <c r="P61" i="60"/>
  <c r="Q61" i="60"/>
  <c r="R61" i="60"/>
  <c r="E61" i="60"/>
  <c r="D61" i="60"/>
  <c r="C61" i="60"/>
  <c r="S60" i="60"/>
  <c r="AG59" i="60"/>
  <c r="S59" i="60"/>
  <c r="S58" i="60"/>
  <c r="S57" i="60"/>
  <c r="S56" i="60"/>
  <c r="AG55" i="60"/>
  <c r="S55" i="60"/>
  <c r="S54" i="60"/>
  <c r="S53" i="60"/>
  <c r="AG52" i="60"/>
  <c r="S52" i="60"/>
  <c r="S51" i="60"/>
  <c r="AG50" i="60"/>
  <c r="S50" i="60"/>
  <c r="AG49" i="60"/>
  <c r="S49" i="60"/>
  <c r="S61" i="74"/>
  <c r="E61" i="74"/>
  <c r="D61" i="74"/>
  <c r="C61" i="74"/>
  <c r="C48" i="74"/>
  <c r="C39" i="74"/>
  <c r="C64" i="74"/>
  <c r="C74" i="74"/>
  <c r="S60" i="74"/>
  <c r="AG59" i="74"/>
  <c r="S59" i="74"/>
  <c r="S58" i="74"/>
  <c r="S57" i="74"/>
  <c r="S56" i="74"/>
  <c r="AG55" i="74"/>
  <c r="S55" i="74"/>
  <c r="S54" i="74"/>
  <c r="AG53" i="74"/>
  <c r="S53" i="74"/>
  <c r="AG52" i="74"/>
  <c r="S52" i="74"/>
  <c r="S51" i="74"/>
  <c r="AG50" i="74"/>
  <c r="S50" i="74"/>
  <c r="AG49" i="74"/>
  <c r="S49" i="74"/>
  <c r="E61" i="69"/>
  <c r="D61" i="69"/>
  <c r="C61" i="69"/>
  <c r="S60" i="69"/>
  <c r="AG59" i="69"/>
  <c r="S59" i="69"/>
  <c r="S58" i="69"/>
  <c r="S57" i="69"/>
  <c r="S56" i="69"/>
  <c r="AG55" i="69"/>
  <c r="S55" i="69"/>
  <c r="S54" i="69"/>
  <c r="AG53" i="69"/>
  <c r="S53" i="69"/>
  <c r="AG52" i="69"/>
  <c r="S52" i="69"/>
  <c r="S51" i="69"/>
  <c r="AG50" i="69"/>
  <c r="S50" i="69"/>
  <c r="AG49" i="69"/>
  <c r="S49" i="69"/>
  <c r="AG53" i="68"/>
  <c r="E61" i="68"/>
  <c r="D61" i="68"/>
  <c r="C61" i="68"/>
  <c r="S60" i="68"/>
  <c r="AG59" i="68"/>
  <c r="S59" i="68"/>
  <c r="S58" i="68"/>
  <c r="S57" i="68"/>
  <c r="S56" i="68"/>
  <c r="AG55" i="68"/>
  <c r="S55" i="68"/>
  <c r="S54" i="68"/>
  <c r="S53" i="68"/>
  <c r="AG52" i="68"/>
  <c r="S52" i="68"/>
  <c r="S51" i="68"/>
  <c r="AG50" i="68"/>
  <c r="S50" i="68"/>
  <c r="AG49" i="68"/>
  <c r="S49" i="68"/>
  <c r="G61" i="55"/>
  <c r="H61" i="55"/>
  <c r="I61" i="55"/>
  <c r="J61" i="55"/>
  <c r="K61" i="55"/>
  <c r="L61" i="55"/>
  <c r="L39" i="55"/>
  <c r="L64" i="55"/>
  <c r="L68" i="55"/>
  <c r="L70" i="55"/>
  <c r="L10" i="55"/>
  <c r="L71" i="55"/>
  <c r="M61" i="55"/>
  <c r="N61" i="55"/>
  <c r="O61" i="55"/>
  <c r="P61" i="55"/>
  <c r="Q61" i="55"/>
  <c r="R61" i="55"/>
  <c r="E61" i="55"/>
  <c r="D61" i="55"/>
  <c r="C61" i="55"/>
  <c r="S60" i="55"/>
  <c r="AG59" i="55"/>
  <c r="S59" i="55"/>
  <c r="S58" i="55"/>
  <c r="S57" i="55"/>
  <c r="S56" i="55"/>
  <c r="S55" i="55"/>
  <c r="S54" i="55"/>
  <c r="S53" i="55"/>
  <c r="AG52" i="55"/>
  <c r="S52" i="55"/>
  <c r="S51" i="55"/>
  <c r="AG50" i="55"/>
  <c r="S50" i="55"/>
  <c r="AG49" i="55"/>
  <c r="S49" i="55"/>
  <c r="G61" i="66"/>
  <c r="H61" i="66"/>
  <c r="I61" i="66"/>
  <c r="J61" i="66"/>
  <c r="K61" i="66"/>
  <c r="K48" i="66"/>
  <c r="K39" i="66"/>
  <c r="K64" i="66"/>
  <c r="K10" i="66"/>
  <c r="K65" i="66"/>
  <c r="L61" i="66"/>
  <c r="M61" i="66"/>
  <c r="N61" i="66"/>
  <c r="O61" i="66"/>
  <c r="P61" i="66"/>
  <c r="Q61" i="66"/>
  <c r="R61" i="66"/>
  <c r="S61" i="66"/>
  <c r="E61" i="66"/>
  <c r="D61" i="66"/>
  <c r="C61" i="66"/>
  <c r="S60" i="66"/>
  <c r="S59" i="66"/>
  <c r="S58" i="66"/>
  <c r="S57" i="66"/>
  <c r="S56" i="66"/>
  <c r="S55" i="66"/>
  <c r="S54" i="66"/>
  <c r="S53" i="66"/>
  <c r="AG52" i="66"/>
  <c r="S52" i="66"/>
  <c r="S51" i="66"/>
  <c r="AG50" i="66"/>
  <c r="S50" i="66"/>
  <c r="AG49" i="66"/>
  <c r="S49" i="66"/>
  <c r="G61" i="63"/>
  <c r="H61" i="63"/>
  <c r="I61" i="63"/>
  <c r="J61" i="63"/>
  <c r="K61" i="63"/>
  <c r="L61" i="63"/>
  <c r="M61" i="63"/>
  <c r="N61" i="63"/>
  <c r="O61" i="63"/>
  <c r="P61" i="63"/>
  <c r="Q61" i="63"/>
  <c r="R61" i="63"/>
  <c r="E61" i="63"/>
  <c r="D61" i="63"/>
  <c r="C61" i="63"/>
  <c r="S60" i="63"/>
  <c r="S59" i="63"/>
  <c r="S58" i="63"/>
  <c r="S57" i="63"/>
  <c r="S56" i="63"/>
  <c r="S55" i="63"/>
  <c r="S54" i="63"/>
  <c r="S53" i="63"/>
  <c r="AG52" i="63"/>
  <c r="S52" i="63"/>
  <c r="S51" i="63"/>
  <c r="AG50" i="63"/>
  <c r="S50" i="63"/>
  <c r="AG49" i="63"/>
  <c r="S49" i="63"/>
  <c r="E61" i="57"/>
  <c r="D61" i="57"/>
  <c r="C61" i="57"/>
  <c r="S60" i="57"/>
  <c r="S59" i="57"/>
  <c r="S58" i="57"/>
  <c r="S57" i="57"/>
  <c r="S56" i="57"/>
  <c r="AG55" i="57"/>
  <c r="S55" i="57"/>
  <c r="S54" i="57"/>
  <c r="S53" i="57"/>
  <c r="AG52" i="57"/>
  <c r="S52" i="57"/>
  <c r="S51" i="57"/>
  <c r="AG50" i="57"/>
  <c r="S50" i="57"/>
  <c r="AG49" i="57"/>
  <c r="S49" i="57"/>
  <c r="G61" i="59"/>
  <c r="H61" i="59"/>
  <c r="I61" i="59"/>
  <c r="J61" i="59"/>
  <c r="K61" i="59"/>
  <c r="L61" i="59"/>
  <c r="M61" i="59"/>
  <c r="N61" i="59"/>
  <c r="O61" i="59"/>
  <c r="P61" i="59"/>
  <c r="Q61" i="59"/>
  <c r="R61" i="59"/>
  <c r="E61" i="59"/>
  <c r="D61" i="59"/>
  <c r="C61" i="59"/>
  <c r="S60" i="59"/>
  <c r="S59" i="59"/>
  <c r="S58" i="59"/>
  <c r="S57" i="59"/>
  <c r="S56" i="59"/>
  <c r="AG55" i="59"/>
  <c r="S55" i="59"/>
  <c r="S54" i="59"/>
  <c r="S53" i="59"/>
  <c r="AG52" i="59"/>
  <c r="S52" i="59"/>
  <c r="S51" i="59"/>
  <c r="AG50" i="59"/>
  <c r="S50" i="59"/>
  <c r="AG49" i="59"/>
  <c r="S49" i="59"/>
  <c r="G61" i="58"/>
  <c r="H61" i="58"/>
  <c r="I61" i="58"/>
  <c r="J61" i="58"/>
  <c r="K61" i="58"/>
  <c r="K48" i="58"/>
  <c r="K39" i="58"/>
  <c r="K64" i="58"/>
  <c r="K10" i="58"/>
  <c r="L61" i="58"/>
  <c r="M61" i="58"/>
  <c r="N61" i="58"/>
  <c r="O61" i="58"/>
  <c r="P61" i="58"/>
  <c r="Q61" i="58"/>
  <c r="R61" i="58"/>
  <c r="E61" i="58"/>
  <c r="D61" i="58"/>
  <c r="C61" i="58"/>
  <c r="S60" i="58"/>
  <c r="S59" i="58"/>
  <c r="S58" i="58"/>
  <c r="S57" i="58"/>
  <c r="S56" i="58"/>
  <c r="AG55" i="58"/>
  <c r="S55" i="58"/>
  <c r="S54" i="58"/>
  <c r="S53" i="58"/>
  <c r="AG52" i="58"/>
  <c r="S52" i="58"/>
  <c r="S51" i="58"/>
  <c r="AG50" i="58"/>
  <c r="S50" i="58"/>
  <c r="S49" i="58"/>
  <c r="G61" i="61"/>
  <c r="H61" i="61"/>
  <c r="I61" i="61"/>
  <c r="J61" i="61"/>
  <c r="K61" i="61"/>
  <c r="L61" i="61"/>
  <c r="M61" i="61"/>
  <c r="N61" i="61"/>
  <c r="O61" i="61"/>
  <c r="P61" i="61"/>
  <c r="Q61" i="61"/>
  <c r="R61" i="61"/>
  <c r="L48" i="61"/>
  <c r="L39" i="61"/>
  <c r="L64" i="61"/>
  <c r="L68" i="61"/>
  <c r="L70" i="61"/>
  <c r="E61" i="61"/>
  <c r="D61" i="61"/>
  <c r="C61" i="61"/>
  <c r="S60" i="61"/>
  <c r="AG59" i="61"/>
  <c r="S59" i="61"/>
  <c r="S58" i="61"/>
  <c r="S57" i="61"/>
  <c r="S56" i="61"/>
  <c r="AG55" i="61"/>
  <c r="S55" i="61"/>
  <c r="S54" i="61"/>
  <c r="S53" i="61"/>
  <c r="AG52" i="61"/>
  <c r="S52" i="61"/>
  <c r="S51" i="61"/>
  <c r="AG50" i="61"/>
  <c r="S50" i="61"/>
  <c r="AG49" i="61"/>
  <c r="S49" i="61"/>
  <c r="E3" i="75"/>
  <c r="E4" i="75"/>
  <c r="E5" i="75"/>
  <c r="E6" i="75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2" i="75"/>
  <c r="L32" i="74"/>
  <c r="K32" i="74"/>
  <c r="J32" i="74"/>
  <c r="I32" i="74"/>
  <c r="H32" i="74"/>
  <c r="G32" i="74"/>
  <c r="L31" i="74"/>
  <c r="K31" i="74"/>
  <c r="J31" i="74"/>
  <c r="I31" i="74"/>
  <c r="H31" i="74"/>
  <c r="G31" i="74"/>
  <c r="L30" i="74"/>
  <c r="K30" i="74"/>
  <c r="J30" i="74"/>
  <c r="I30" i="74"/>
  <c r="H30" i="74"/>
  <c r="G30" i="74"/>
  <c r="L28" i="74"/>
  <c r="K28" i="74"/>
  <c r="J28" i="74"/>
  <c r="I28" i="74"/>
  <c r="H28" i="74"/>
  <c r="G28" i="74"/>
  <c r="S73" i="74"/>
  <c r="S69" i="74"/>
  <c r="S67" i="74"/>
  <c r="S66" i="74"/>
  <c r="S63" i="74"/>
  <c r="S62" i="74"/>
  <c r="S47" i="74"/>
  <c r="S46" i="74"/>
  <c r="S45" i="74"/>
  <c r="S44" i="74"/>
  <c r="S43" i="74"/>
  <c r="S42" i="74"/>
  <c r="S41" i="74"/>
  <c r="S40" i="74"/>
  <c r="S38" i="74"/>
  <c r="S37" i="74"/>
  <c r="S36" i="74"/>
  <c r="S35" i="74"/>
  <c r="S34" i="74"/>
  <c r="S20" i="74"/>
  <c r="S19" i="74"/>
  <c r="S17" i="74"/>
  <c r="S16" i="74"/>
  <c r="S15" i="74"/>
  <c r="S13" i="74"/>
  <c r="S12" i="74"/>
  <c r="S11" i="74"/>
  <c r="S9" i="74"/>
  <c r="S32" i="74"/>
  <c r="S8" i="74"/>
  <c r="S31" i="74"/>
  <c r="S7" i="74"/>
  <c r="S30" i="74"/>
  <c r="S5" i="74"/>
  <c r="E6" i="68"/>
  <c r="E10" i="68"/>
  <c r="D6" i="68"/>
  <c r="C6" i="68"/>
  <c r="C10" i="68"/>
  <c r="C14" i="68"/>
  <c r="C18" i="68"/>
  <c r="C21" i="68"/>
  <c r="C27" i="68"/>
  <c r="C33" i="68"/>
  <c r="E32" i="68"/>
  <c r="D32" i="68"/>
  <c r="C32" i="68"/>
  <c r="E31" i="68"/>
  <c r="D31" i="68"/>
  <c r="C31" i="68"/>
  <c r="E30" i="68"/>
  <c r="D30" i="68"/>
  <c r="C30" i="68"/>
  <c r="C29" i="68"/>
  <c r="E28" i="68"/>
  <c r="D28" i="68"/>
  <c r="C28" i="68"/>
  <c r="Q32" i="68"/>
  <c r="P32" i="68"/>
  <c r="O32" i="68"/>
  <c r="N32" i="68"/>
  <c r="M32" i="68"/>
  <c r="L32" i="68"/>
  <c r="K32" i="68"/>
  <c r="J32" i="68"/>
  <c r="I32" i="68"/>
  <c r="H32" i="68"/>
  <c r="G32" i="68"/>
  <c r="Q31" i="68"/>
  <c r="P31" i="68"/>
  <c r="O31" i="68"/>
  <c r="N31" i="68"/>
  <c r="M31" i="68"/>
  <c r="L31" i="68"/>
  <c r="K31" i="68"/>
  <c r="J31" i="68"/>
  <c r="I31" i="68"/>
  <c r="H31" i="68"/>
  <c r="G31" i="68"/>
  <c r="Q30" i="68"/>
  <c r="P30" i="68"/>
  <c r="O30" i="68"/>
  <c r="N30" i="68"/>
  <c r="M30" i="68"/>
  <c r="L30" i="68"/>
  <c r="K30" i="68"/>
  <c r="J30" i="68"/>
  <c r="I30" i="68"/>
  <c r="H30" i="68"/>
  <c r="G30" i="68"/>
  <c r="Q28" i="68"/>
  <c r="P28" i="68"/>
  <c r="O28" i="68"/>
  <c r="N28" i="68"/>
  <c r="M28" i="68"/>
  <c r="L28" i="68"/>
  <c r="K28" i="68"/>
  <c r="J28" i="68"/>
  <c r="I28" i="68"/>
  <c r="H28" i="68"/>
  <c r="G28" i="68"/>
  <c r="S73" i="68"/>
  <c r="S69" i="68"/>
  <c r="S67" i="68"/>
  <c r="S66" i="68"/>
  <c r="S63" i="68"/>
  <c r="S62" i="68"/>
  <c r="S47" i="68"/>
  <c r="S46" i="68"/>
  <c r="S45" i="68"/>
  <c r="S44" i="68"/>
  <c r="S43" i="68"/>
  <c r="S42" i="68"/>
  <c r="S41" i="68"/>
  <c r="S40" i="68"/>
  <c r="S38" i="68"/>
  <c r="S35" i="68"/>
  <c r="S20" i="68"/>
  <c r="S19" i="68"/>
  <c r="S17" i="68"/>
  <c r="S16" i="68"/>
  <c r="S15" i="68"/>
  <c r="S13" i="68"/>
  <c r="S12" i="68"/>
  <c r="S11" i="68"/>
  <c r="S9" i="68"/>
  <c r="S8" i="68"/>
  <c r="S7" i="68"/>
  <c r="S30" i="68"/>
  <c r="S5" i="68"/>
  <c r="R32" i="69"/>
  <c r="Q32" i="69"/>
  <c r="P32" i="69"/>
  <c r="O32" i="69"/>
  <c r="N32" i="69"/>
  <c r="M32" i="69"/>
  <c r="L32" i="69"/>
  <c r="K32" i="69"/>
  <c r="J32" i="69"/>
  <c r="I32" i="69"/>
  <c r="H32" i="69"/>
  <c r="G32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R28" i="69"/>
  <c r="Q28" i="69"/>
  <c r="P28" i="69"/>
  <c r="O28" i="69"/>
  <c r="N28" i="69"/>
  <c r="M28" i="69"/>
  <c r="L28" i="69"/>
  <c r="K28" i="69"/>
  <c r="J28" i="69"/>
  <c r="I28" i="69"/>
  <c r="H28" i="69"/>
  <c r="G28" i="69"/>
  <c r="E6" i="69"/>
  <c r="E29" i="69"/>
  <c r="E32" i="69"/>
  <c r="E31" i="69"/>
  <c r="E30" i="69"/>
  <c r="E28" i="69"/>
  <c r="D6" i="69"/>
  <c r="D32" i="69"/>
  <c r="D31" i="69"/>
  <c r="D30" i="69"/>
  <c r="D28" i="69"/>
  <c r="C6" i="69"/>
  <c r="C10" i="69"/>
  <c r="C32" i="69"/>
  <c r="C31" i="69"/>
  <c r="C30" i="69"/>
  <c r="C29" i="69"/>
  <c r="C28" i="69"/>
  <c r="S73" i="69"/>
  <c r="S69" i="69"/>
  <c r="S67" i="69"/>
  <c r="S66" i="69"/>
  <c r="S63" i="69"/>
  <c r="S62" i="69"/>
  <c r="S48" i="69"/>
  <c r="S47" i="69"/>
  <c r="S46" i="69"/>
  <c r="S45" i="69"/>
  <c r="S44" i="69"/>
  <c r="S43" i="69"/>
  <c r="S42" i="69"/>
  <c r="S41" i="69"/>
  <c r="S40" i="69"/>
  <c r="S38" i="69"/>
  <c r="S37" i="69"/>
  <c r="S36" i="69"/>
  <c r="S35" i="69"/>
  <c r="S34" i="69"/>
  <c r="S20" i="69"/>
  <c r="S19" i="69"/>
  <c r="S17" i="69"/>
  <c r="S16" i="69"/>
  <c r="S15" i="69"/>
  <c r="S13" i="69"/>
  <c r="S12" i="69"/>
  <c r="S11" i="69"/>
  <c r="S9" i="69"/>
  <c r="S8" i="69"/>
  <c r="S7" i="69"/>
  <c r="S5" i="69"/>
  <c r="AF6" i="69"/>
  <c r="AE6" i="69"/>
  <c r="AD6" i="69"/>
  <c r="AB6" i="69"/>
  <c r="AB17" i="69"/>
  <c r="AC6" i="69"/>
  <c r="V22" i="69"/>
  <c r="Z22" i="69"/>
  <c r="AB14" i="69"/>
  <c r="AC14" i="69"/>
  <c r="AC22" i="69"/>
  <c r="AD14" i="69"/>
  <c r="AE10" i="69"/>
  <c r="AE14" i="69"/>
  <c r="AE22" i="69"/>
  <c r="AE15" i="69"/>
  <c r="AE17" i="69"/>
  <c r="AF14" i="69"/>
  <c r="AF22" i="69"/>
  <c r="E48" i="69"/>
  <c r="E39" i="69"/>
  <c r="D48" i="69"/>
  <c r="D39" i="69"/>
  <c r="C48" i="69"/>
  <c r="C39" i="69"/>
  <c r="AG73" i="69"/>
  <c r="AG69" i="69"/>
  <c r="AG67" i="69"/>
  <c r="AG66" i="69"/>
  <c r="AG62" i="69"/>
  <c r="AG47" i="69"/>
  <c r="AG46" i="69"/>
  <c r="AG45" i="69"/>
  <c r="AG44" i="69"/>
  <c r="AG43" i="69"/>
  <c r="AG42" i="69"/>
  <c r="AG41" i="69"/>
  <c r="AG40" i="69"/>
  <c r="AG37" i="69"/>
  <c r="AG36" i="69"/>
  <c r="AG35" i="69"/>
  <c r="AG34" i="69"/>
  <c r="AG9" i="69"/>
  <c r="AG32" i="69"/>
  <c r="AF32" i="69"/>
  <c r="AE32" i="69"/>
  <c r="AD32" i="69"/>
  <c r="AC32" i="69"/>
  <c r="AB32" i="69"/>
  <c r="AA32" i="69"/>
  <c r="Z32" i="69"/>
  <c r="Y32" i="69"/>
  <c r="X32" i="69"/>
  <c r="W32" i="69"/>
  <c r="V32" i="69"/>
  <c r="U32" i="69"/>
  <c r="AG8" i="69"/>
  <c r="AG31" i="69"/>
  <c r="AF31" i="69"/>
  <c r="AE31" i="69"/>
  <c r="AD31" i="69"/>
  <c r="AC31" i="69"/>
  <c r="AB31" i="69"/>
  <c r="AA31" i="69"/>
  <c r="Z31" i="69"/>
  <c r="Y31" i="69"/>
  <c r="X31" i="69"/>
  <c r="W31" i="69"/>
  <c r="V31" i="69"/>
  <c r="U31" i="69"/>
  <c r="S31" i="69"/>
  <c r="AG7" i="69"/>
  <c r="AG30" i="69"/>
  <c r="AF30" i="69"/>
  <c r="AE30" i="69"/>
  <c r="AD30" i="69"/>
  <c r="AC30" i="69"/>
  <c r="AB30" i="69"/>
  <c r="AA30" i="69"/>
  <c r="Z30" i="69"/>
  <c r="Y30" i="69"/>
  <c r="X30" i="69"/>
  <c r="W30" i="69"/>
  <c r="V30" i="69"/>
  <c r="U30" i="69"/>
  <c r="S30" i="69"/>
  <c r="U29" i="69"/>
  <c r="AG5" i="69"/>
  <c r="AG28" i="69"/>
  <c r="AF28" i="69"/>
  <c r="AE28" i="69"/>
  <c r="AD28" i="69"/>
  <c r="AC28" i="69"/>
  <c r="AB28" i="69"/>
  <c r="AA28" i="69"/>
  <c r="Z28" i="69"/>
  <c r="Y28" i="69"/>
  <c r="X28" i="69"/>
  <c r="W28" i="69"/>
  <c r="V28" i="69"/>
  <c r="U28" i="69"/>
  <c r="S28" i="69"/>
  <c r="U26" i="69"/>
  <c r="V26" i="69"/>
  <c r="W26" i="69"/>
  <c r="X26" i="69"/>
  <c r="Y26" i="69"/>
  <c r="Z26" i="69"/>
  <c r="AA26" i="69"/>
  <c r="AB26" i="69"/>
  <c r="AC26" i="69"/>
  <c r="AD26" i="69"/>
  <c r="AE26" i="69"/>
  <c r="AF26" i="69"/>
  <c r="AG26" i="69"/>
  <c r="R26" i="69"/>
  <c r="Q26" i="69"/>
  <c r="P26" i="69"/>
  <c r="U25" i="69"/>
  <c r="V25" i="69"/>
  <c r="W25" i="69"/>
  <c r="X25" i="69"/>
  <c r="Y25" i="69"/>
  <c r="Z25" i="69"/>
  <c r="AA25" i="69"/>
  <c r="AB25" i="69"/>
  <c r="AC25" i="69"/>
  <c r="AD25" i="69"/>
  <c r="AE25" i="69"/>
  <c r="AF25" i="69"/>
  <c r="AG25" i="69"/>
  <c r="P25" i="69"/>
  <c r="Q25" i="69"/>
  <c r="R25" i="69"/>
  <c r="U24" i="69"/>
  <c r="V24" i="69"/>
  <c r="W24" i="69"/>
  <c r="X24" i="69"/>
  <c r="Y24" i="69"/>
  <c r="Z24" i="69"/>
  <c r="AA24" i="69"/>
  <c r="AB24" i="69"/>
  <c r="AC24" i="69"/>
  <c r="AD24" i="69"/>
  <c r="AE24" i="69"/>
  <c r="AF24" i="69"/>
  <c r="P24" i="69"/>
  <c r="Q24" i="69"/>
  <c r="R24" i="69"/>
  <c r="S24" i="69"/>
  <c r="W22" i="69"/>
  <c r="X22" i="69"/>
  <c r="Y22" i="69"/>
  <c r="AA22" i="69"/>
  <c r="AB22" i="69"/>
  <c r="AD22" i="69"/>
  <c r="P22" i="69"/>
  <c r="Q22" i="69"/>
  <c r="R22" i="69"/>
  <c r="S22" i="69"/>
  <c r="E14" i="69"/>
  <c r="E18" i="69"/>
  <c r="E21" i="69"/>
  <c r="D14" i="69"/>
  <c r="D18" i="69"/>
  <c r="D21" i="69"/>
  <c r="C14" i="69"/>
  <c r="C18" i="69"/>
  <c r="AG20" i="69"/>
  <c r="AG19" i="69"/>
  <c r="AG13" i="69"/>
  <c r="AG12" i="69"/>
  <c r="AG11" i="69"/>
  <c r="AH7" i="69"/>
  <c r="T7" i="69"/>
  <c r="U22" i="68"/>
  <c r="AB14" i="68"/>
  <c r="AB48" i="68"/>
  <c r="AC14" i="68"/>
  <c r="AC22" i="68"/>
  <c r="AC48" i="68"/>
  <c r="AD14" i="68"/>
  <c r="AD22" i="68"/>
  <c r="AD48" i="68"/>
  <c r="AE14" i="68"/>
  <c r="AE22" i="68"/>
  <c r="AE48" i="68"/>
  <c r="AF14" i="68"/>
  <c r="AF48" i="68"/>
  <c r="R23" i="68"/>
  <c r="R29" i="68"/>
  <c r="E48" i="68"/>
  <c r="E39" i="68"/>
  <c r="D48" i="68"/>
  <c r="D39" i="68"/>
  <c r="C48" i="68"/>
  <c r="C39" i="68"/>
  <c r="AG73" i="68"/>
  <c r="AG69" i="68"/>
  <c r="AG67" i="68"/>
  <c r="AG66" i="68"/>
  <c r="AG62" i="68"/>
  <c r="AG47" i="68"/>
  <c r="AG46" i="68"/>
  <c r="AG45" i="68"/>
  <c r="AG44" i="68"/>
  <c r="AG43" i="68"/>
  <c r="AG42" i="68"/>
  <c r="AG41" i="68"/>
  <c r="AG40" i="68"/>
  <c r="AG35" i="68"/>
  <c r="AG9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S32" i="68"/>
  <c r="R32" i="68"/>
  <c r="AG8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S31" i="68"/>
  <c r="R31" i="68"/>
  <c r="AG7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R30" i="68"/>
  <c r="AG5" i="68"/>
  <c r="AG28" i="68"/>
  <c r="AF28" i="68"/>
  <c r="AE28" i="68"/>
  <c r="AD28" i="68"/>
  <c r="AC28" i="68"/>
  <c r="AB28" i="68"/>
  <c r="AA28" i="68"/>
  <c r="Z28" i="68"/>
  <c r="Y28" i="68"/>
  <c r="X28" i="68"/>
  <c r="W28" i="68"/>
  <c r="V28" i="68"/>
  <c r="U28" i="68"/>
  <c r="S28" i="68"/>
  <c r="R28" i="68"/>
  <c r="U26" i="68"/>
  <c r="V26" i="68"/>
  <c r="W26" i="68"/>
  <c r="X26" i="68"/>
  <c r="Y26" i="68"/>
  <c r="Z26" i="68"/>
  <c r="AA26" i="68"/>
  <c r="AB26" i="68"/>
  <c r="AC26" i="68"/>
  <c r="AD26" i="68"/>
  <c r="AE26" i="68"/>
  <c r="AF26" i="68"/>
  <c r="S26" i="68"/>
  <c r="R26" i="68"/>
  <c r="Q26" i="68"/>
  <c r="P26" i="68"/>
  <c r="U25" i="68"/>
  <c r="V25" i="68"/>
  <c r="W25" i="68"/>
  <c r="X25" i="68"/>
  <c r="Y25" i="68"/>
  <c r="Z25" i="68"/>
  <c r="AA25" i="68"/>
  <c r="AB25" i="68"/>
  <c r="AC25" i="68"/>
  <c r="AD25" i="68"/>
  <c r="AE25" i="68"/>
  <c r="AF25" i="68"/>
  <c r="P25" i="68"/>
  <c r="Q25" i="68"/>
  <c r="R25" i="68"/>
  <c r="S25" i="68"/>
  <c r="U24" i="68"/>
  <c r="V24" i="68"/>
  <c r="W24" i="68"/>
  <c r="X24" i="68"/>
  <c r="Y24" i="68"/>
  <c r="Z24" i="68"/>
  <c r="AA24" i="68"/>
  <c r="AB24" i="68"/>
  <c r="AC24" i="68"/>
  <c r="AD24" i="68"/>
  <c r="AE24" i="68"/>
  <c r="AF24" i="68"/>
  <c r="P24" i="68"/>
  <c r="Q24" i="68"/>
  <c r="R24" i="68"/>
  <c r="S24" i="68"/>
  <c r="X22" i="68"/>
  <c r="Y22" i="68"/>
  <c r="Z22" i="68"/>
  <c r="AB22" i="68"/>
  <c r="AF22" i="68"/>
  <c r="R22" i="68"/>
  <c r="E14" i="68"/>
  <c r="E18" i="68"/>
  <c r="E21" i="68"/>
  <c r="D14" i="68"/>
  <c r="D18" i="68"/>
  <c r="D21" i="68"/>
  <c r="AG20" i="68"/>
  <c r="AG19" i="68"/>
  <c r="AG13" i="68"/>
  <c r="AG12" i="68"/>
  <c r="AG11" i="68"/>
  <c r="AH7" i="68"/>
  <c r="T7" i="68"/>
  <c r="AH7" i="74"/>
  <c r="T7" i="74"/>
  <c r="E6" i="74"/>
  <c r="D6" i="74"/>
  <c r="D10" i="74"/>
  <c r="D33" i="74"/>
  <c r="C6" i="74"/>
  <c r="S73" i="55"/>
  <c r="S69" i="55"/>
  <c r="S67" i="55"/>
  <c r="S66" i="55"/>
  <c r="S63" i="55"/>
  <c r="S62" i="55"/>
  <c r="S47" i="55"/>
  <c r="S38" i="55"/>
  <c r="S37" i="55"/>
  <c r="S36" i="55"/>
  <c r="S35" i="55"/>
  <c r="S34" i="55"/>
  <c r="S20" i="55"/>
  <c r="S19" i="55"/>
  <c r="S17" i="55"/>
  <c r="S16" i="55"/>
  <c r="S15" i="55"/>
  <c r="S13" i="55"/>
  <c r="S12" i="55"/>
  <c r="S11" i="55"/>
  <c r="G9" i="55"/>
  <c r="G10" i="55"/>
  <c r="G33" i="55"/>
  <c r="K9" i="55"/>
  <c r="L33" i="55"/>
  <c r="S8" i="55"/>
  <c r="S7" i="55"/>
  <c r="S6" i="55"/>
  <c r="S5" i="55"/>
  <c r="S28" i="55"/>
  <c r="AF9" i="55"/>
  <c r="AF26" i="55"/>
  <c r="AF32" i="55"/>
  <c r="AC9" i="55"/>
  <c r="AB9" i="55"/>
  <c r="E9" i="55"/>
  <c r="D9" i="55"/>
  <c r="C9" i="55"/>
  <c r="E69" i="57"/>
  <c r="D69" i="57"/>
  <c r="C69" i="57"/>
  <c r="Z33" i="63"/>
  <c r="AB14" i="63"/>
  <c r="AB22" i="63"/>
  <c r="AB18" i="63"/>
  <c r="AC18" i="63"/>
  <c r="AD18" i="63"/>
  <c r="AE18" i="63"/>
  <c r="AF18" i="63"/>
  <c r="AG18" i="63"/>
  <c r="AB48" i="63"/>
  <c r="AC14" i="63"/>
  <c r="AC48" i="63"/>
  <c r="AD14" i="63"/>
  <c r="AD23" i="63"/>
  <c r="AD48" i="63"/>
  <c r="AE48" i="63"/>
  <c r="AF48" i="63"/>
  <c r="AG48" i="63"/>
  <c r="AE14" i="63"/>
  <c r="AE23" i="63"/>
  <c r="AF14" i="63"/>
  <c r="AF22" i="63"/>
  <c r="AF23" i="63"/>
  <c r="G48" i="63"/>
  <c r="G39" i="63"/>
  <c r="H48" i="63"/>
  <c r="H39" i="63"/>
  <c r="H64" i="63"/>
  <c r="H10" i="63"/>
  <c r="I48" i="63"/>
  <c r="I39" i="63"/>
  <c r="J48" i="63"/>
  <c r="J39" i="63"/>
  <c r="K48" i="63"/>
  <c r="K39" i="63"/>
  <c r="K64" i="63"/>
  <c r="L48" i="63"/>
  <c r="L39" i="63"/>
  <c r="L64" i="63"/>
  <c r="L10" i="63"/>
  <c r="M10" i="63"/>
  <c r="M14" i="63"/>
  <c r="M18" i="63"/>
  <c r="M21" i="63"/>
  <c r="M27" i="63"/>
  <c r="M33" i="63"/>
  <c r="M48" i="63"/>
  <c r="M39" i="63"/>
  <c r="N10" i="63"/>
  <c r="N14" i="63"/>
  <c r="N18" i="63"/>
  <c r="N48" i="63"/>
  <c r="N39" i="63"/>
  <c r="O10" i="63"/>
  <c r="O14" i="63"/>
  <c r="O18" i="63"/>
  <c r="O48" i="63"/>
  <c r="O39" i="63"/>
  <c r="P39" i="63"/>
  <c r="Q39" i="63"/>
  <c r="R39" i="63"/>
  <c r="P10" i="63"/>
  <c r="P14" i="63"/>
  <c r="P18" i="63"/>
  <c r="P48" i="63"/>
  <c r="Q10" i="63"/>
  <c r="Q14" i="63"/>
  <c r="Q18" i="63"/>
  <c r="Q21" i="63"/>
  <c r="Q27" i="63"/>
  <c r="Q48" i="63"/>
  <c r="R10" i="63"/>
  <c r="R14" i="63"/>
  <c r="R18" i="63"/>
  <c r="R23" i="63"/>
  <c r="P23" i="63"/>
  <c r="Q23" i="63"/>
  <c r="S23" i="63"/>
  <c r="R48" i="63"/>
  <c r="G10" i="63"/>
  <c r="H33" i="63"/>
  <c r="I10" i="63"/>
  <c r="I33" i="63"/>
  <c r="J10" i="63"/>
  <c r="K10" i="63"/>
  <c r="L33" i="63"/>
  <c r="E48" i="63"/>
  <c r="E39" i="63"/>
  <c r="E64" i="63"/>
  <c r="E74" i="63"/>
  <c r="E10" i="63"/>
  <c r="E75" i="63"/>
  <c r="D48" i="63"/>
  <c r="D39" i="63"/>
  <c r="D10" i="63"/>
  <c r="D33" i="63"/>
  <c r="C48" i="63"/>
  <c r="C39" i="63"/>
  <c r="C64" i="63"/>
  <c r="C10" i="63"/>
  <c r="C33" i="63"/>
  <c r="AG73" i="63"/>
  <c r="S73" i="63"/>
  <c r="AG69" i="63"/>
  <c r="S69" i="63"/>
  <c r="AG67" i="63"/>
  <c r="S67" i="63"/>
  <c r="AG66" i="63"/>
  <c r="S66" i="63"/>
  <c r="S63" i="63"/>
  <c r="AG62" i="63"/>
  <c r="S62" i="63"/>
  <c r="AG47" i="63"/>
  <c r="S47" i="63"/>
  <c r="AG46" i="63"/>
  <c r="S46" i="63"/>
  <c r="AG45" i="63"/>
  <c r="S45" i="63"/>
  <c r="AG44" i="63"/>
  <c r="S44" i="63"/>
  <c r="AG43" i="63"/>
  <c r="S43" i="63"/>
  <c r="AG42" i="63"/>
  <c r="S42" i="63"/>
  <c r="AG41" i="63"/>
  <c r="S41" i="63"/>
  <c r="AG40" i="63"/>
  <c r="S40" i="63"/>
  <c r="AG38" i="63"/>
  <c r="S38" i="63"/>
  <c r="AG37" i="63"/>
  <c r="S37" i="63"/>
  <c r="AG36" i="63"/>
  <c r="S36" i="63"/>
  <c r="AG35" i="63"/>
  <c r="S35" i="63"/>
  <c r="AG34" i="63"/>
  <c r="S34" i="63"/>
  <c r="J33" i="63"/>
  <c r="G33" i="63"/>
  <c r="E33" i="63"/>
  <c r="AG9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S9" i="63"/>
  <c r="S26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E32" i="63"/>
  <c r="D32" i="63"/>
  <c r="C32" i="63"/>
  <c r="AG8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S8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E31" i="63"/>
  <c r="D31" i="63"/>
  <c r="C31" i="63"/>
  <c r="AG7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S7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E30" i="63"/>
  <c r="D30" i="63"/>
  <c r="C30" i="63"/>
  <c r="AG6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S6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E29" i="63"/>
  <c r="D29" i="63"/>
  <c r="C29" i="63"/>
  <c r="AG5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S5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E28" i="63"/>
  <c r="D28" i="63"/>
  <c r="C28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R26" i="63"/>
  <c r="Q26" i="63"/>
  <c r="P26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P25" i="63"/>
  <c r="Q25" i="63"/>
  <c r="R25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P24" i="63"/>
  <c r="Q24" i="63"/>
  <c r="R24" i="63"/>
  <c r="S24" i="63"/>
  <c r="U23" i="63"/>
  <c r="V23" i="63"/>
  <c r="W23" i="63"/>
  <c r="Y23" i="63"/>
  <c r="Z23" i="63"/>
  <c r="AC23" i="63"/>
  <c r="U22" i="63"/>
  <c r="W22" i="63"/>
  <c r="X22" i="63"/>
  <c r="Y22" i="63"/>
  <c r="Z22" i="63"/>
  <c r="AC22" i="63"/>
  <c r="G14" i="63"/>
  <c r="G18" i="63"/>
  <c r="H14" i="63"/>
  <c r="H18" i="63"/>
  <c r="H21" i="63"/>
  <c r="I14" i="63"/>
  <c r="I18" i="63"/>
  <c r="I21" i="63"/>
  <c r="J18" i="63"/>
  <c r="K18" i="63"/>
  <c r="L18" i="63"/>
  <c r="J14" i="63"/>
  <c r="J21" i="63"/>
  <c r="K14" i="63"/>
  <c r="K21" i="63"/>
  <c r="L14" i="63"/>
  <c r="L21" i="63"/>
  <c r="E14" i="63"/>
  <c r="E18" i="63"/>
  <c r="E21" i="63"/>
  <c r="D14" i="63"/>
  <c r="D18" i="63"/>
  <c r="D21" i="63"/>
  <c r="C14" i="63"/>
  <c r="C18" i="63"/>
  <c r="C21" i="63"/>
  <c r="AG20" i="63"/>
  <c r="S20" i="63"/>
  <c r="AG19" i="63"/>
  <c r="S19" i="63"/>
  <c r="AG17" i="63"/>
  <c r="S17" i="63"/>
  <c r="AG16" i="63"/>
  <c r="S16" i="63"/>
  <c r="AG15" i="63"/>
  <c r="S15" i="63"/>
  <c r="AG13" i="63"/>
  <c r="S13" i="63"/>
  <c r="AG12" i="63"/>
  <c r="S12" i="63"/>
  <c r="AG11" i="63"/>
  <c r="S11" i="63"/>
  <c r="AB39" i="57"/>
  <c r="AC39" i="57"/>
  <c r="AD39" i="57"/>
  <c r="AE39" i="57"/>
  <c r="AF39" i="57"/>
  <c r="AB10" i="57"/>
  <c r="AC10" i="57"/>
  <c r="AD10" i="57"/>
  <c r="AE10" i="57"/>
  <c r="AF10" i="57"/>
  <c r="AG10" i="57"/>
  <c r="AC14" i="57"/>
  <c r="AC18" i="57"/>
  <c r="AC21" i="57"/>
  <c r="AC27" i="57"/>
  <c r="AC33" i="57"/>
  <c r="AE14" i="57"/>
  <c r="AE18" i="57"/>
  <c r="X23" i="57"/>
  <c r="Y23" i="57"/>
  <c r="AB14" i="57"/>
  <c r="AB22" i="57"/>
  <c r="AB18" i="57"/>
  <c r="AB23" i="57"/>
  <c r="AB48" i="57"/>
  <c r="AC23" i="57"/>
  <c r="AC48" i="57"/>
  <c r="AD48" i="57"/>
  <c r="AE48" i="57"/>
  <c r="AF48" i="57"/>
  <c r="AG48" i="57"/>
  <c r="AD14" i="57"/>
  <c r="AD18" i="57"/>
  <c r="AF14" i="57"/>
  <c r="AF18" i="57"/>
  <c r="AF23" i="57"/>
  <c r="H10" i="57"/>
  <c r="H33" i="57"/>
  <c r="I10" i="57"/>
  <c r="J74" i="57"/>
  <c r="J10" i="57"/>
  <c r="J75" i="57"/>
  <c r="K10" i="57"/>
  <c r="K33" i="57"/>
  <c r="L10" i="57"/>
  <c r="G10" i="57"/>
  <c r="I33" i="57"/>
  <c r="E48" i="57"/>
  <c r="E39" i="57"/>
  <c r="E64" i="57"/>
  <c r="E10" i="57"/>
  <c r="E33" i="57"/>
  <c r="D48" i="57"/>
  <c r="D39" i="57"/>
  <c r="D10" i="57"/>
  <c r="D33" i="57"/>
  <c r="C48" i="57"/>
  <c r="C39" i="57"/>
  <c r="C64" i="57"/>
  <c r="C10" i="57"/>
  <c r="AG73" i="57"/>
  <c r="S73" i="57"/>
  <c r="AG67" i="57"/>
  <c r="S67" i="57"/>
  <c r="S66" i="57"/>
  <c r="S63" i="57"/>
  <c r="AG62" i="57"/>
  <c r="S62" i="57"/>
  <c r="AG47" i="57"/>
  <c r="S47" i="57"/>
  <c r="AG46" i="57"/>
  <c r="S46" i="57"/>
  <c r="AG45" i="57"/>
  <c r="S45" i="57"/>
  <c r="AG44" i="57"/>
  <c r="S44" i="57"/>
  <c r="AG43" i="57"/>
  <c r="S43" i="57"/>
  <c r="AG42" i="57"/>
  <c r="S42" i="57"/>
  <c r="AG41" i="57"/>
  <c r="S41" i="57"/>
  <c r="AG40" i="57"/>
  <c r="S40" i="57"/>
  <c r="AG38" i="57"/>
  <c r="S38" i="57"/>
  <c r="AG37" i="57"/>
  <c r="S37" i="57"/>
  <c r="AG36" i="57"/>
  <c r="S36" i="57"/>
  <c r="AG35" i="57"/>
  <c r="S35" i="57"/>
  <c r="AG34" i="57"/>
  <c r="S34" i="57"/>
  <c r="L33" i="57"/>
  <c r="C33" i="57"/>
  <c r="AG9" i="57"/>
  <c r="AG32" i="57"/>
  <c r="AF32" i="57"/>
  <c r="AE32" i="57"/>
  <c r="AD32" i="57"/>
  <c r="AC32" i="57"/>
  <c r="AB32" i="57"/>
  <c r="AA32" i="57"/>
  <c r="Z32" i="57"/>
  <c r="Y32" i="57"/>
  <c r="X32" i="57"/>
  <c r="W32" i="57"/>
  <c r="V32" i="57"/>
  <c r="U32" i="57"/>
  <c r="S9" i="57"/>
  <c r="S32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E32" i="57"/>
  <c r="D32" i="57"/>
  <c r="C32" i="57"/>
  <c r="AG8" i="57"/>
  <c r="AG31" i="57"/>
  <c r="AF31" i="57"/>
  <c r="AE31" i="57"/>
  <c r="AD31" i="57"/>
  <c r="AC31" i="57"/>
  <c r="AB31" i="57"/>
  <c r="AA31" i="57"/>
  <c r="Z31" i="57"/>
  <c r="Y31" i="57"/>
  <c r="X31" i="57"/>
  <c r="W31" i="57"/>
  <c r="V31" i="57"/>
  <c r="U31" i="57"/>
  <c r="S8" i="57"/>
  <c r="S31" i="57"/>
  <c r="R31" i="57"/>
  <c r="Q31" i="57"/>
  <c r="P31" i="57"/>
  <c r="O31" i="57"/>
  <c r="N31" i="57"/>
  <c r="M31" i="57"/>
  <c r="L31" i="57"/>
  <c r="K31" i="57"/>
  <c r="J31" i="57"/>
  <c r="I31" i="57"/>
  <c r="H31" i="57"/>
  <c r="G31" i="57"/>
  <c r="E31" i="57"/>
  <c r="D31" i="57"/>
  <c r="C31" i="57"/>
  <c r="AG30" i="57"/>
  <c r="AF30" i="57"/>
  <c r="AE30" i="57"/>
  <c r="AD30" i="57"/>
  <c r="AC30" i="57"/>
  <c r="AB30" i="57"/>
  <c r="AA30" i="57"/>
  <c r="Z30" i="57"/>
  <c r="Y30" i="57"/>
  <c r="X30" i="57"/>
  <c r="W30" i="57"/>
  <c r="V30" i="57"/>
  <c r="U30" i="57"/>
  <c r="S7" i="57"/>
  <c r="S30" i="57"/>
  <c r="R30" i="57"/>
  <c r="Q30" i="57"/>
  <c r="P30" i="57"/>
  <c r="O30" i="57"/>
  <c r="N30" i="57"/>
  <c r="M30" i="57"/>
  <c r="L30" i="57"/>
  <c r="K30" i="57"/>
  <c r="J30" i="57"/>
  <c r="I30" i="57"/>
  <c r="H30" i="57"/>
  <c r="G30" i="57"/>
  <c r="E30" i="57"/>
  <c r="D30" i="57"/>
  <c r="C30" i="57"/>
  <c r="AG6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S6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E29" i="57"/>
  <c r="D29" i="57"/>
  <c r="C29" i="57"/>
  <c r="AG28" i="57"/>
  <c r="AF28" i="57"/>
  <c r="AE28" i="57"/>
  <c r="AD28" i="57"/>
  <c r="AC28" i="57"/>
  <c r="AB28" i="57"/>
  <c r="AA28" i="57"/>
  <c r="Z28" i="57"/>
  <c r="Y28" i="57"/>
  <c r="X28" i="57"/>
  <c r="W28" i="57"/>
  <c r="V28" i="57"/>
  <c r="U28" i="57"/>
  <c r="S5" i="57"/>
  <c r="S28" i="57"/>
  <c r="R28" i="57"/>
  <c r="Q28" i="57"/>
  <c r="P28" i="57"/>
  <c r="O28" i="57"/>
  <c r="N28" i="57"/>
  <c r="M28" i="57"/>
  <c r="L28" i="57"/>
  <c r="K28" i="57"/>
  <c r="J28" i="57"/>
  <c r="I28" i="57"/>
  <c r="H28" i="57"/>
  <c r="G28" i="57"/>
  <c r="E28" i="57"/>
  <c r="D28" i="57"/>
  <c r="C28" i="57"/>
  <c r="U26" i="57"/>
  <c r="V26" i="57"/>
  <c r="W26" i="57"/>
  <c r="X26" i="57"/>
  <c r="Y26" i="57"/>
  <c r="Z26" i="57"/>
  <c r="AA26" i="57"/>
  <c r="AB26" i="57"/>
  <c r="AC26" i="57"/>
  <c r="AD26" i="57"/>
  <c r="AE26" i="57"/>
  <c r="AF26" i="57"/>
  <c r="AG26" i="57"/>
  <c r="S26" i="57"/>
  <c r="R26" i="57"/>
  <c r="Q26" i="57"/>
  <c r="P26" i="57"/>
  <c r="U25" i="57"/>
  <c r="V25" i="57"/>
  <c r="W25" i="57"/>
  <c r="X25" i="57"/>
  <c r="Y25" i="57"/>
  <c r="Z25" i="57"/>
  <c r="AA25" i="57"/>
  <c r="AB25" i="57"/>
  <c r="AC25" i="57"/>
  <c r="AD25" i="57"/>
  <c r="AE25" i="57"/>
  <c r="AF25" i="57"/>
  <c r="AG25" i="57"/>
  <c r="P25" i="57"/>
  <c r="Q25" i="57"/>
  <c r="R25" i="57"/>
  <c r="S25" i="57"/>
  <c r="U24" i="57"/>
  <c r="V24" i="57"/>
  <c r="W24" i="57"/>
  <c r="X24" i="57"/>
  <c r="Y24" i="57"/>
  <c r="Z24" i="57"/>
  <c r="AA24" i="57"/>
  <c r="AB24" i="57"/>
  <c r="AC24" i="57"/>
  <c r="AD24" i="57"/>
  <c r="AE24" i="57"/>
  <c r="AF24" i="57"/>
  <c r="P24" i="57"/>
  <c r="Q24" i="57"/>
  <c r="R24" i="57"/>
  <c r="S24" i="57"/>
  <c r="U23" i="57"/>
  <c r="V23" i="57"/>
  <c r="W23" i="57"/>
  <c r="Z23" i="57"/>
  <c r="AA23" i="57"/>
  <c r="AD23" i="57"/>
  <c r="AE23" i="57"/>
  <c r="AG23" i="57"/>
  <c r="P23" i="57"/>
  <c r="Q23" i="57"/>
  <c r="R23" i="57"/>
  <c r="U22" i="57"/>
  <c r="X22" i="57"/>
  <c r="Y22" i="57"/>
  <c r="Z22" i="57"/>
  <c r="AC22" i="57"/>
  <c r="P22" i="57"/>
  <c r="G14" i="57"/>
  <c r="H14" i="57"/>
  <c r="I14" i="57"/>
  <c r="J14" i="57"/>
  <c r="J18" i="57"/>
  <c r="J21" i="57"/>
  <c r="K14" i="57"/>
  <c r="L14" i="57"/>
  <c r="G18" i="57"/>
  <c r="G21" i="57"/>
  <c r="H18" i="57"/>
  <c r="H21" i="57"/>
  <c r="I18" i="57"/>
  <c r="K18" i="57"/>
  <c r="K21" i="57"/>
  <c r="I21" i="57"/>
  <c r="L18" i="57"/>
  <c r="L21" i="57"/>
  <c r="M21" i="57"/>
  <c r="N21" i="57"/>
  <c r="O21" i="57"/>
  <c r="S21" i="57"/>
  <c r="E14" i="57"/>
  <c r="E18" i="57"/>
  <c r="E21" i="57"/>
  <c r="D14" i="57"/>
  <c r="D18" i="57"/>
  <c r="D21" i="57"/>
  <c r="C14" i="57"/>
  <c r="C18" i="57"/>
  <c r="C21" i="57"/>
  <c r="AG20" i="57"/>
  <c r="S20" i="57"/>
  <c r="AG19" i="57"/>
  <c r="S19" i="57"/>
  <c r="AG17" i="57"/>
  <c r="S17" i="57"/>
  <c r="AG16" i="57"/>
  <c r="S16" i="57"/>
  <c r="AG15" i="57"/>
  <c r="S15" i="57"/>
  <c r="AG13" i="57"/>
  <c r="S13" i="57"/>
  <c r="S12" i="57"/>
  <c r="AG11" i="57"/>
  <c r="S11" i="57"/>
  <c r="AB18" i="59"/>
  <c r="AC18" i="59"/>
  <c r="AD18" i="59"/>
  <c r="AE18" i="59"/>
  <c r="AF18" i="59"/>
  <c r="AG18" i="59"/>
  <c r="AD23" i="59"/>
  <c r="AB39" i="59"/>
  <c r="AC39" i="59"/>
  <c r="AD39" i="59"/>
  <c r="AE39" i="59"/>
  <c r="AF39" i="59"/>
  <c r="AB10" i="59"/>
  <c r="AC10" i="59"/>
  <c r="AD10" i="59"/>
  <c r="AD14" i="59"/>
  <c r="AE10" i="59"/>
  <c r="AF10" i="59"/>
  <c r="V33" i="59"/>
  <c r="X23" i="59"/>
  <c r="AA33" i="59"/>
  <c r="AB14" i="59"/>
  <c r="AB23" i="59"/>
  <c r="AC14" i="59"/>
  <c r="AD22" i="59"/>
  <c r="AE14" i="59"/>
  <c r="AE21" i="59"/>
  <c r="AF14" i="59"/>
  <c r="AF23" i="59"/>
  <c r="G48" i="59"/>
  <c r="G39" i="59"/>
  <c r="G10" i="59"/>
  <c r="H48" i="59"/>
  <c r="H39" i="59"/>
  <c r="H10" i="59"/>
  <c r="I48" i="59"/>
  <c r="I39" i="59"/>
  <c r="I10" i="59"/>
  <c r="I33" i="59"/>
  <c r="J48" i="59"/>
  <c r="J39" i="59"/>
  <c r="J64" i="59"/>
  <c r="J10" i="59"/>
  <c r="K48" i="59"/>
  <c r="K39" i="59"/>
  <c r="K64" i="59"/>
  <c r="K10" i="59"/>
  <c r="K33" i="59"/>
  <c r="L48" i="59"/>
  <c r="L39" i="59"/>
  <c r="L64" i="59"/>
  <c r="L10" i="59"/>
  <c r="M10" i="59"/>
  <c r="M14" i="59"/>
  <c r="M18" i="59"/>
  <c r="M21" i="59"/>
  <c r="M27" i="59"/>
  <c r="M48" i="59"/>
  <c r="N48" i="59"/>
  <c r="O48" i="59"/>
  <c r="P48" i="59"/>
  <c r="Q48" i="59"/>
  <c r="R48" i="59"/>
  <c r="M39" i="59"/>
  <c r="N39" i="59"/>
  <c r="O39" i="59"/>
  <c r="P39" i="59"/>
  <c r="Q39" i="59"/>
  <c r="R39" i="59"/>
  <c r="N10" i="59"/>
  <c r="N14" i="59"/>
  <c r="N18" i="59"/>
  <c r="N21" i="59"/>
  <c r="N27" i="59"/>
  <c r="O10" i="59"/>
  <c r="O14" i="59"/>
  <c r="O18" i="59"/>
  <c r="O21" i="59"/>
  <c r="O27" i="59"/>
  <c r="P10" i="59"/>
  <c r="P14" i="59"/>
  <c r="P18" i="59"/>
  <c r="P21" i="59"/>
  <c r="Q10" i="59"/>
  <c r="Q14" i="59"/>
  <c r="Q22" i="59"/>
  <c r="P22" i="59"/>
  <c r="R14" i="59"/>
  <c r="R22" i="59"/>
  <c r="Q18" i="59"/>
  <c r="R10" i="59"/>
  <c r="R18" i="59"/>
  <c r="J33" i="59"/>
  <c r="E48" i="59"/>
  <c r="E39" i="59"/>
  <c r="E10" i="59"/>
  <c r="D48" i="59"/>
  <c r="D39" i="59"/>
  <c r="D64" i="59"/>
  <c r="D10" i="59"/>
  <c r="C48" i="59"/>
  <c r="C39" i="59"/>
  <c r="C64" i="59"/>
  <c r="C10" i="59"/>
  <c r="C33" i="59"/>
  <c r="AG73" i="59"/>
  <c r="S73" i="59"/>
  <c r="AG69" i="59"/>
  <c r="S69" i="59"/>
  <c r="AG67" i="59"/>
  <c r="S67" i="59"/>
  <c r="AG66" i="59"/>
  <c r="S66" i="59"/>
  <c r="S63" i="59"/>
  <c r="AG62" i="59"/>
  <c r="S62" i="59"/>
  <c r="AG47" i="59"/>
  <c r="S47" i="59"/>
  <c r="AG46" i="59"/>
  <c r="S46" i="59"/>
  <c r="AG45" i="59"/>
  <c r="S45" i="59"/>
  <c r="AG44" i="59"/>
  <c r="S44" i="59"/>
  <c r="AG43" i="59"/>
  <c r="S43" i="59"/>
  <c r="AG42" i="59"/>
  <c r="S42" i="59"/>
  <c r="AG41" i="59"/>
  <c r="S41" i="59"/>
  <c r="AG40" i="59"/>
  <c r="S40" i="59"/>
  <c r="AG38" i="59"/>
  <c r="S38" i="59"/>
  <c r="AG37" i="59"/>
  <c r="S37" i="59"/>
  <c r="AG36" i="59"/>
  <c r="S36" i="59"/>
  <c r="AG35" i="59"/>
  <c r="S35" i="59"/>
  <c r="AG34" i="59"/>
  <c r="S34" i="59"/>
  <c r="L33" i="59"/>
  <c r="H33" i="59"/>
  <c r="G33" i="59"/>
  <c r="E33" i="59"/>
  <c r="D33" i="59"/>
  <c r="AG9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S9" i="59"/>
  <c r="S26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E32" i="59"/>
  <c r="D32" i="59"/>
  <c r="C32" i="59"/>
  <c r="AG8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S8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E31" i="59"/>
  <c r="D31" i="59"/>
  <c r="C31" i="59"/>
  <c r="AG7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S7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E30" i="59"/>
  <c r="D30" i="59"/>
  <c r="C30" i="59"/>
  <c r="AG6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S6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E29" i="59"/>
  <c r="D29" i="59"/>
  <c r="C29" i="59"/>
  <c r="AG5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S5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E28" i="59"/>
  <c r="D28" i="59"/>
  <c r="C28" i="59"/>
  <c r="U26" i="59"/>
  <c r="V26" i="59"/>
  <c r="W26" i="59"/>
  <c r="X26" i="59"/>
  <c r="Y26" i="59"/>
  <c r="Z26" i="59"/>
  <c r="AA26" i="59"/>
  <c r="AB26" i="59"/>
  <c r="AC26" i="59"/>
  <c r="AD26" i="59"/>
  <c r="AE26" i="59"/>
  <c r="AF26" i="59"/>
  <c r="R26" i="59"/>
  <c r="Q26" i="59"/>
  <c r="P26" i="59"/>
  <c r="U25" i="59"/>
  <c r="V25" i="59"/>
  <c r="W25" i="59"/>
  <c r="X25" i="59"/>
  <c r="Y25" i="59"/>
  <c r="Z25" i="59"/>
  <c r="AA25" i="59"/>
  <c r="AB25" i="59"/>
  <c r="AC25" i="59"/>
  <c r="AD25" i="59"/>
  <c r="AE25" i="59"/>
  <c r="AF25" i="59"/>
  <c r="AG25" i="59"/>
  <c r="P25" i="59"/>
  <c r="Q25" i="59"/>
  <c r="R25" i="59"/>
  <c r="S25" i="59"/>
  <c r="U24" i="59"/>
  <c r="V24" i="59"/>
  <c r="W24" i="59"/>
  <c r="X24" i="59"/>
  <c r="Y24" i="59"/>
  <c r="Z24" i="59"/>
  <c r="AA24" i="59"/>
  <c r="AB24" i="59"/>
  <c r="AC24" i="59"/>
  <c r="AD24" i="59"/>
  <c r="AE24" i="59"/>
  <c r="AF24" i="59"/>
  <c r="P24" i="59"/>
  <c r="Q24" i="59"/>
  <c r="R24" i="59"/>
  <c r="S24" i="59"/>
  <c r="U23" i="59"/>
  <c r="V23" i="59"/>
  <c r="W23" i="59"/>
  <c r="Y23" i="59"/>
  <c r="Z23" i="59"/>
  <c r="AA23" i="59"/>
  <c r="AE23" i="59"/>
  <c r="P23" i="59"/>
  <c r="R23" i="59"/>
  <c r="U22" i="59"/>
  <c r="V22" i="59"/>
  <c r="X22" i="59"/>
  <c r="Z22" i="59"/>
  <c r="AC22" i="59"/>
  <c r="G14" i="59"/>
  <c r="G18" i="59"/>
  <c r="H14" i="59"/>
  <c r="H18" i="59"/>
  <c r="H21" i="59"/>
  <c r="I14" i="59"/>
  <c r="I18" i="59"/>
  <c r="I21" i="59"/>
  <c r="J14" i="59"/>
  <c r="J18" i="59"/>
  <c r="J21" i="59"/>
  <c r="K18" i="59"/>
  <c r="L18" i="59"/>
  <c r="S18" i="59"/>
  <c r="K14" i="59"/>
  <c r="L14" i="59"/>
  <c r="S14" i="59"/>
  <c r="E14" i="59"/>
  <c r="E18" i="59"/>
  <c r="E21" i="59"/>
  <c r="D14" i="59"/>
  <c r="D18" i="59"/>
  <c r="D21" i="59"/>
  <c r="C14" i="59"/>
  <c r="C18" i="59"/>
  <c r="C21" i="59"/>
  <c r="AG20" i="59"/>
  <c r="S20" i="59"/>
  <c r="AG19" i="59"/>
  <c r="S19" i="59"/>
  <c r="AG17" i="59"/>
  <c r="S17" i="59"/>
  <c r="AG16" i="59"/>
  <c r="S16" i="59"/>
  <c r="AG15" i="59"/>
  <c r="S15" i="59"/>
  <c r="AG13" i="59"/>
  <c r="S13" i="59"/>
  <c r="AG12" i="59"/>
  <c r="S12" i="59"/>
  <c r="AG11" i="59"/>
  <c r="S11" i="59"/>
  <c r="AB48" i="58"/>
  <c r="AC48" i="58"/>
  <c r="AD48" i="58"/>
  <c r="AE48" i="58"/>
  <c r="AF48" i="58"/>
  <c r="AG48" i="58"/>
  <c r="AB39" i="58"/>
  <c r="AC39" i="58"/>
  <c r="AD39" i="58"/>
  <c r="AE39" i="58"/>
  <c r="AF39" i="58"/>
  <c r="AG39" i="58"/>
  <c r="AB10" i="58"/>
  <c r="AC10" i="58"/>
  <c r="AD10" i="58"/>
  <c r="AE10" i="58"/>
  <c r="AF10" i="58"/>
  <c r="AG10" i="58"/>
  <c r="AC14" i="58"/>
  <c r="AC18" i="58"/>
  <c r="AF14" i="58"/>
  <c r="AF18" i="58"/>
  <c r="AF21" i="58"/>
  <c r="AF27" i="58"/>
  <c r="AF33" i="58"/>
  <c r="V33" i="58"/>
  <c r="AB14" i="58"/>
  <c r="AB18" i="58"/>
  <c r="AD14" i="58"/>
  <c r="AD18" i="58"/>
  <c r="U23" i="58"/>
  <c r="V23" i="58"/>
  <c r="W23" i="58"/>
  <c r="X23" i="58"/>
  <c r="Z23" i="58"/>
  <c r="AA23" i="58"/>
  <c r="AB23" i="58"/>
  <c r="AE18" i="58"/>
  <c r="AE23" i="58"/>
  <c r="AF23" i="58"/>
  <c r="AE14" i="58"/>
  <c r="G48" i="58"/>
  <c r="H48" i="58"/>
  <c r="I48" i="58"/>
  <c r="I39" i="58"/>
  <c r="I64" i="58"/>
  <c r="J48" i="58"/>
  <c r="J39" i="58"/>
  <c r="J64" i="58"/>
  <c r="J10" i="58"/>
  <c r="L48" i="58"/>
  <c r="M48" i="58"/>
  <c r="N48" i="58"/>
  <c r="O48" i="58"/>
  <c r="P48" i="58"/>
  <c r="Q48" i="58"/>
  <c r="R48" i="58"/>
  <c r="G39" i="58"/>
  <c r="H39" i="58"/>
  <c r="H64" i="58"/>
  <c r="L39" i="58"/>
  <c r="L64" i="58"/>
  <c r="M10" i="58"/>
  <c r="M14" i="58"/>
  <c r="M18" i="58"/>
  <c r="M21" i="58"/>
  <c r="M27" i="58"/>
  <c r="M39" i="58"/>
  <c r="N10" i="58"/>
  <c r="N14" i="58"/>
  <c r="N18" i="58"/>
  <c r="N21" i="58"/>
  <c r="N27" i="58"/>
  <c r="N39" i="58"/>
  <c r="O10" i="58"/>
  <c r="O14" i="58"/>
  <c r="O18" i="58"/>
  <c r="O39" i="58"/>
  <c r="P10" i="58"/>
  <c r="P14" i="58"/>
  <c r="P22" i="58"/>
  <c r="Q14" i="58"/>
  <c r="Q18" i="58"/>
  <c r="Q21" i="58"/>
  <c r="Q10" i="58"/>
  <c r="Q27" i="58"/>
  <c r="Q22" i="58"/>
  <c r="R14" i="58"/>
  <c r="R22" i="58"/>
  <c r="P18" i="58"/>
  <c r="Q23" i="58"/>
  <c r="R18" i="58"/>
  <c r="P39" i="58"/>
  <c r="Q39" i="58"/>
  <c r="R10" i="58"/>
  <c r="R39" i="58"/>
  <c r="G10" i="58"/>
  <c r="H10" i="58"/>
  <c r="H33" i="58"/>
  <c r="I10" i="58"/>
  <c r="I33" i="58"/>
  <c r="L10" i="58"/>
  <c r="L33" i="58"/>
  <c r="E48" i="58"/>
  <c r="E39" i="58"/>
  <c r="E64" i="58"/>
  <c r="E74" i="58"/>
  <c r="E10" i="58"/>
  <c r="D48" i="58"/>
  <c r="D39" i="58"/>
  <c r="D64" i="58"/>
  <c r="D68" i="58"/>
  <c r="D70" i="58"/>
  <c r="D10" i="58"/>
  <c r="D71" i="58"/>
  <c r="D33" i="58"/>
  <c r="C48" i="58"/>
  <c r="C39" i="58"/>
  <c r="C10" i="58"/>
  <c r="C33" i="58"/>
  <c r="AG73" i="58"/>
  <c r="S73" i="58"/>
  <c r="AG69" i="58"/>
  <c r="S69" i="58"/>
  <c r="AG67" i="58"/>
  <c r="S67" i="58"/>
  <c r="AG66" i="58"/>
  <c r="S66" i="58"/>
  <c r="S63" i="58"/>
  <c r="AG62" i="58"/>
  <c r="S62" i="58"/>
  <c r="AG47" i="58"/>
  <c r="S47" i="58"/>
  <c r="AG46" i="58"/>
  <c r="S46" i="58"/>
  <c r="AG45" i="58"/>
  <c r="S45" i="58"/>
  <c r="AG44" i="58"/>
  <c r="S44" i="58"/>
  <c r="AG43" i="58"/>
  <c r="S43" i="58"/>
  <c r="AG42" i="58"/>
  <c r="S42" i="58"/>
  <c r="AG41" i="58"/>
  <c r="S41" i="58"/>
  <c r="AG40" i="58"/>
  <c r="S40" i="58"/>
  <c r="AG38" i="58"/>
  <c r="S38" i="58"/>
  <c r="AG37" i="58"/>
  <c r="S37" i="58"/>
  <c r="AG36" i="58"/>
  <c r="S36" i="58"/>
  <c r="AG35" i="58"/>
  <c r="S35" i="58"/>
  <c r="AG34" i="58"/>
  <c r="S34" i="58"/>
  <c r="K33" i="58"/>
  <c r="J33" i="58"/>
  <c r="G33" i="58"/>
  <c r="AG9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S9" i="58"/>
  <c r="S26" i="58"/>
  <c r="R32" i="58"/>
  <c r="Q32" i="58"/>
  <c r="P32" i="58"/>
  <c r="O32" i="58"/>
  <c r="N32" i="58"/>
  <c r="M32" i="58"/>
  <c r="L32" i="58"/>
  <c r="K32" i="58"/>
  <c r="J32" i="58"/>
  <c r="I32" i="58"/>
  <c r="H32" i="58"/>
  <c r="G32" i="58"/>
  <c r="E32" i="58"/>
  <c r="D32" i="58"/>
  <c r="C32" i="58"/>
  <c r="AG8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S8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E31" i="58"/>
  <c r="D31" i="58"/>
  <c r="C31" i="58"/>
  <c r="AG7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S7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E30" i="58"/>
  <c r="D30" i="58"/>
  <c r="C30" i="58"/>
  <c r="AG6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S6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E29" i="58"/>
  <c r="D29" i="58"/>
  <c r="C29" i="58"/>
  <c r="AG5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S5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E28" i="58"/>
  <c r="D28" i="58"/>
  <c r="C28" i="58"/>
  <c r="U26" i="58"/>
  <c r="V26" i="58"/>
  <c r="W26" i="58"/>
  <c r="X26" i="58"/>
  <c r="Y26" i="58"/>
  <c r="Z26" i="58"/>
  <c r="AA26" i="58"/>
  <c r="AB26" i="58"/>
  <c r="AC26" i="58"/>
  <c r="AD26" i="58"/>
  <c r="AE26" i="58"/>
  <c r="AF26" i="58"/>
  <c r="R26" i="58"/>
  <c r="Q26" i="58"/>
  <c r="P26" i="58"/>
  <c r="U25" i="58"/>
  <c r="V25" i="58"/>
  <c r="W25" i="58"/>
  <c r="X25" i="58"/>
  <c r="Y25" i="58"/>
  <c r="Z25" i="58"/>
  <c r="AA25" i="58"/>
  <c r="AB25" i="58"/>
  <c r="AC25" i="58"/>
  <c r="AD25" i="58"/>
  <c r="AE25" i="58"/>
  <c r="AF25" i="58"/>
  <c r="P25" i="58"/>
  <c r="Q25" i="58"/>
  <c r="R25" i="58"/>
  <c r="S25" i="58"/>
  <c r="U24" i="58"/>
  <c r="V24" i="58"/>
  <c r="W24" i="58"/>
  <c r="X24" i="58"/>
  <c r="Y24" i="58"/>
  <c r="Z24" i="58"/>
  <c r="AA24" i="58"/>
  <c r="AB24" i="58"/>
  <c r="AC24" i="58"/>
  <c r="AD24" i="58"/>
  <c r="AE24" i="58"/>
  <c r="AF24" i="58"/>
  <c r="P24" i="58"/>
  <c r="Q24" i="58"/>
  <c r="R24" i="58"/>
  <c r="U22" i="58"/>
  <c r="V22" i="58"/>
  <c r="W22" i="58"/>
  <c r="Y22" i="58"/>
  <c r="AA22" i="58"/>
  <c r="AC22" i="58"/>
  <c r="AD22" i="58"/>
  <c r="AF22" i="58"/>
  <c r="G14" i="58"/>
  <c r="G18" i="58"/>
  <c r="H18" i="58"/>
  <c r="I18" i="58"/>
  <c r="J18" i="58"/>
  <c r="K18" i="58"/>
  <c r="K14" i="58"/>
  <c r="K21" i="58"/>
  <c r="L18" i="58"/>
  <c r="H14" i="58"/>
  <c r="I14" i="58"/>
  <c r="I21" i="58"/>
  <c r="J14" i="58"/>
  <c r="J21" i="58"/>
  <c r="L14" i="58"/>
  <c r="L21" i="58"/>
  <c r="E14" i="58"/>
  <c r="E18" i="58"/>
  <c r="E21" i="58"/>
  <c r="D14" i="58"/>
  <c r="D18" i="58"/>
  <c r="D21" i="58"/>
  <c r="C14" i="58"/>
  <c r="C18" i="58"/>
  <c r="C21" i="58"/>
  <c r="AG20" i="58"/>
  <c r="S20" i="58"/>
  <c r="AG19" i="58"/>
  <c r="S19" i="58"/>
  <c r="AG17" i="58"/>
  <c r="S17" i="58"/>
  <c r="AG16" i="58"/>
  <c r="S16" i="58"/>
  <c r="AG15" i="58"/>
  <c r="S15" i="58"/>
  <c r="AG13" i="58"/>
  <c r="S13" i="58"/>
  <c r="AG12" i="58"/>
  <c r="S12" i="58"/>
  <c r="AG11" i="58"/>
  <c r="S11" i="58"/>
  <c r="AB48" i="60"/>
  <c r="AC48" i="60"/>
  <c r="AD48" i="60"/>
  <c r="AE48" i="60"/>
  <c r="AF48" i="60"/>
  <c r="AB10" i="60"/>
  <c r="AC10" i="60"/>
  <c r="AD10" i="60"/>
  <c r="AE10" i="60"/>
  <c r="AF10" i="60"/>
  <c r="AG10" i="60"/>
  <c r="AG18" i="60"/>
  <c r="H48" i="60"/>
  <c r="I48" i="60"/>
  <c r="J48" i="60"/>
  <c r="K48" i="60"/>
  <c r="L48" i="60"/>
  <c r="M48" i="60"/>
  <c r="N48" i="60"/>
  <c r="O48" i="60"/>
  <c r="P48" i="60"/>
  <c r="Q48" i="60"/>
  <c r="R48" i="60"/>
  <c r="S48" i="60"/>
  <c r="J39" i="60"/>
  <c r="J64" i="60"/>
  <c r="H39" i="60"/>
  <c r="I39" i="60"/>
  <c r="K39" i="60"/>
  <c r="K64" i="60"/>
  <c r="L39" i="60"/>
  <c r="M39" i="60"/>
  <c r="N39" i="60"/>
  <c r="O39" i="60"/>
  <c r="P39" i="60"/>
  <c r="Q39" i="60"/>
  <c r="R39" i="60"/>
  <c r="I64" i="60"/>
  <c r="M10" i="60"/>
  <c r="M14" i="60"/>
  <c r="M18" i="60"/>
  <c r="N10" i="60"/>
  <c r="N14" i="60"/>
  <c r="N18" i="60"/>
  <c r="N21" i="60"/>
  <c r="N27" i="60"/>
  <c r="O10" i="60"/>
  <c r="O14" i="60"/>
  <c r="O18" i="60"/>
  <c r="O21" i="60"/>
  <c r="O27" i="60"/>
  <c r="O33" i="60"/>
  <c r="P10" i="60"/>
  <c r="P14" i="60"/>
  <c r="P18" i="60"/>
  <c r="P23" i="60"/>
  <c r="Q18" i="60"/>
  <c r="Q23" i="60"/>
  <c r="R18" i="60"/>
  <c r="R23" i="60"/>
  <c r="Q10" i="60"/>
  <c r="Q14" i="60"/>
  <c r="Q21" i="60"/>
  <c r="Q27" i="60"/>
  <c r="Q64" i="60"/>
  <c r="R10" i="60"/>
  <c r="R14" i="60"/>
  <c r="R22" i="60"/>
  <c r="P22" i="60"/>
  <c r="Q22" i="60"/>
  <c r="S22" i="60"/>
  <c r="R21" i="60"/>
  <c r="R27" i="60"/>
  <c r="R64" i="60"/>
  <c r="R65" i="60"/>
  <c r="G10" i="60"/>
  <c r="H10" i="60"/>
  <c r="H33" i="60"/>
  <c r="I10" i="60"/>
  <c r="I33" i="60"/>
  <c r="J10" i="60"/>
  <c r="K10" i="60"/>
  <c r="K33" i="60"/>
  <c r="L10" i="60"/>
  <c r="E48" i="60"/>
  <c r="E39" i="60"/>
  <c r="E10" i="60"/>
  <c r="E33" i="60"/>
  <c r="D48" i="60"/>
  <c r="D39" i="60"/>
  <c r="D64" i="60"/>
  <c r="D10" i="60"/>
  <c r="D65" i="60"/>
  <c r="D74" i="60"/>
  <c r="D75" i="60"/>
  <c r="D33" i="60"/>
  <c r="C48" i="60"/>
  <c r="C39" i="60"/>
  <c r="C64" i="60"/>
  <c r="C10" i="60"/>
  <c r="AG73" i="60"/>
  <c r="S73" i="60"/>
  <c r="AG69" i="60"/>
  <c r="S69" i="60"/>
  <c r="AG67" i="60"/>
  <c r="S67" i="60"/>
  <c r="AG66" i="60"/>
  <c r="S66" i="60"/>
  <c r="S63" i="60"/>
  <c r="AG62" i="60"/>
  <c r="S62" i="60"/>
  <c r="AG47" i="60"/>
  <c r="S47" i="60"/>
  <c r="AG46" i="60"/>
  <c r="S46" i="60"/>
  <c r="AG45" i="60"/>
  <c r="S45" i="60"/>
  <c r="AG44" i="60"/>
  <c r="S44" i="60"/>
  <c r="AG43" i="60"/>
  <c r="S43" i="60"/>
  <c r="AG42" i="60"/>
  <c r="S42" i="60"/>
  <c r="AG41" i="60"/>
  <c r="S41" i="60"/>
  <c r="AG40" i="60"/>
  <c r="S40" i="60"/>
  <c r="S38" i="60"/>
  <c r="AG37" i="60"/>
  <c r="S37" i="60"/>
  <c r="S36" i="60"/>
  <c r="AG35" i="60"/>
  <c r="S35" i="60"/>
  <c r="S34" i="60"/>
  <c r="L33" i="60"/>
  <c r="J33" i="60"/>
  <c r="C33" i="60"/>
  <c r="AG9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S9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E32" i="60"/>
  <c r="D32" i="60"/>
  <c r="C32" i="60"/>
  <c r="AG8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S8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E31" i="60"/>
  <c r="D31" i="60"/>
  <c r="C31" i="60"/>
  <c r="AG7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S7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E30" i="60"/>
  <c r="D30" i="60"/>
  <c r="C30" i="60"/>
  <c r="AG6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S6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E29" i="60"/>
  <c r="D29" i="60"/>
  <c r="C29" i="60"/>
  <c r="AG5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S5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E28" i="60"/>
  <c r="D28" i="60"/>
  <c r="C28" i="60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R26" i="60"/>
  <c r="Q26" i="60"/>
  <c r="P26" i="60"/>
  <c r="U25" i="60"/>
  <c r="V25" i="60"/>
  <c r="W25" i="60"/>
  <c r="X25" i="60"/>
  <c r="Y25" i="60"/>
  <c r="Z25" i="60"/>
  <c r="AA25" i="60"/>
  <c r="AB25" i="60"/>
  <c r="AC25" i="60"/>
  <c r="AD25" i="60"/>
  <c r="AE25" i="60"/>
  <c r="AF25" i="60"/>
  <c r="P25" i="60"/>
  <c r="Q25" i="60"/>
  <c r="R25" i="60"/>
  <c r="S25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P24" i="60"/>
  <c r="Q24" i="60"/>
  <c r="R24" i="60"/>
  <c r="S24" i="60"/>
  <c r="G14" i="60"/>
  <c r="H14" i="60"/>
  <c r="I14" i="60"/>
  <c r="J14" i="60"/>
  <c r="J18" i="60"/>
  <c r="J21" i="60"/>
  <c r="K14" i="60"/>
  <c r="L14" i="60"/>
  <c r="L18" i="60"/>
  <c r="L21" i="60"/>
  <c r="G18" i="60"/>
  <c r="G21" i="60"/>
  <c r="H18" i="60"/>
  <c r="H21" i="60"/>
  <c r="I18" i="60"/>
  <c r="K18" i="60"/>
  <c r="K21" i="60"/>
  <c r="S18" i="60"/>
  <c r="E14" i="60"/>
  <c r="E18" i="60"/>
  <c r="E21" i="60"/>
  <c r="D14" i="60"/>
  <c r="D18" i="60"/>
  <c r="D21" i="60"/>
  <c r="C14" i="60"/>
  <c r="C18" i="60"/>
  <c r="C21" i="60"/>
  <c r="AG20" i="60"/>
  <c r="S20" i="60"/>
  <c r="AG19" i="60"/>
  <c r="S19" i="60"/>
  <c r="AG17" i="60"/>
  <c r="S17" i="60"/>
  <c r="AG16" i="60"/>
  <c r="S16" i="60"/>
  <c r="AG15" i="60"/>
  <c r="S15" i="60"/>
  <c r="AG13" i="60"/>
  <c r="S13" i="60"/>
  <c r="S12" i="60"/>
  <c r="AG11" i="60"/>
  <c r="S11" i="60"/>
  <c r="AB10" i="61"/>
  <c r="AC10" i="61"/>
  <c r="AD10" i="61"/>
  <c r="AE10" i="61"/>
  <c r="AF10" i="61"/>
  <c r="V33" i="61"/>
  <c r="V23" i="61"/>
  <c r="Z23" i="61"/>
  <c r="AB14" i="61"/>
  <c r="AB18" i="61"/>
  <c r="AB21" i="61"/>
  <c r="AB27" i="61"/>
  <c r="AB33" i="61"/>
  <c r="AB23" i="61"/>
  <c r="AB48" i="61"/>
  <c r="AC14" i="61"/>
  <c r="AC18" i="61"/>
  <c r="AC21" i="61"/>
  <c r="AC48" i="61"/>
  <c r="AD14" i="61"/>
  <c r="AD18" i="61"/>
  <c r="AD23" i="61"/>
  <c r="AD48" i="61"/>
  <c r="AE14" i="61"/>
  <c r="AE18" i="61"/>
  <c r="AE21" i="61"/>
  <c r="AE48" i="61"/>
  <c r="AF14" i="61"/>
  <c r="AF18" i="61"/>
  <c r="AF21" i="61"/>
  <c r="AF27" i="61"/>
  <c r="AF33" i="61"/>
  <c r="AF48" i="61"/>
  <c r="G48" i="61"/>
  <c r="G39" i="61"/>
  <c r="G64" i="61"/>
  <c r="G10" i="61"/>
  <c r="H39" i="61"/>
  <c r="I39" i="61"/>
  <c r="J39" i="61"/>
  <c r="K39" i="61"/>
  <c r="K48" i="61"/>
  <c r="K64" i="61"/>
  <c r="M39" i="61"/>
  <c r="N39" i="61"/>
  <c r="O39" i="61"/>
  <c r="P39" i="61"/>
  <c r="Q39" i="61"/>
  <c r="R39" i="61"/>
  <c r="S39" i="61"/>
  <c r="H48" i="61"/>
  <c r="H10" i="61"/>
  <c r="I48" i="61"/>
  <c r="I10" i="61"/>
  <c r="J48" i="61"/>
  <c r="J10" i="61"/>
  <c r="J33" i="61"/>
  <c r="K10" i="61"/>
  <c r="K33" i="61"/>
  <c r="L10" i="61"/>
  <c r="L71" i="61"/>
  <c r="M10" i="61"/>
  <c r="M14" i="61"/>
  <c r="M18" i="61"/>
  <c r="M21" i="61"/>
  <c r="M27" i="61"/>
  <c r="M33" i="61"/>
  <c r="M48" i="61"/>
  <c r="N48" i="61"/>
  <c r="O48" i="61"/>
  <c r="P48" i="61"/>
  <c r="Q48" i="61"/>
  <c r="R48" i="61"/>
  <c r="N10" i="61"/>
  <c r="N14" i="61"/>
  <c r="N18" i="61"/>
  <c r="N21" i="61"/>
  <c r="N27" i="61"/>
  <c r="O10" i="61"/>
  <c r="O14" i="61"/>
  <c r="O18" i="61"/>
  <c r="O21" i="61"/>
  <c r="O27" i="61"/>
  <c r="P10" i="61"/>
  <c r="P14" i="61"/>
  <c r="P18" i="61"/>
  <c r="P21" i="61"/>
  <c r="P27" i="61"/>
  <c r="P22" i="61"/>
  <c r="P23" i="61"/>
  <c r="Q10" i="61"/>
  <c r="Q14" i="61"/>
  <c r="Q22" i="61"/>
  <c r="R14" i="61"/>
  <c r="R22" i="61"/>
  <c r="S22" i="61"/>
  <c r="Q18" i="61"/>
  <c r="R10" i="61"/>
  <c r="R18" i="61"/>
  <c r="E48" i="61"/>
  <c r="E39" i="61"/>
  <c r="E64" i="61"/>
  <c r="E74" i="61"/>
  <c r="E10" i="61"/>
  <c r="E75" i="61"/>
  <c r="E33" i="61"/>
  <c r="D48" i="61"/>
  <c r="D39" i="61"/>
  <c r="D64" i="61"/>
  <c r="D10" i="61"/>
  <c r="D33" i="61"/>
  <c r="C48" i="61"/>
  <c r="C39" i="61"/>
  <c r="C64" i="61"/>
  <c r="C10" i="61"/>
  <c r="C33" i="61"/>
  <c r="AG73" i="61"/>
  <c r="S73" i="61"/>
  <c r="AG69" i="61"/>
  <c r="S69" i="61"/>
  <c r="AG67" i="61"/>
  <c r="S67" i="61"/>
  <c r="AG66" i="61"/>
  <c r="S66" i="61"/>
  <c r="K65" i="61"/>
  <c r="S63" i="61"/>
  <c r="AG62" i="61"/>
  <c r="S62" i="61"/>
  <c r="AG47" i="61"/>
  <c r="S47" i="61"/>
  <c r="AG46" i="61"/>
  <c r="S46" i="61"/>
  <c r="AG45" i="61"/>
  <c r="S45" i="61"/>
  <c r="AG44" i="61"/>
  <c r="S44" i="61"/>
  <c r="AG43" i="61"/>
  <c r="S43" i="61"/>
  <c r="AG42" i="61"/>
  <c r="S42" i="61"/>
  <c r="AG41" i="61"/>
  <c r="S41" i="61"/>
  <c r="AG40" i="61"/>
  <c r="S40" i="61"/>
  <c r="S38" i="61"/>
  <c r="AG37" i="61"/>
  <c r="S37" i="61"/>
  <c r="AG36" i="61"/>
  <c r="S36" i="61"/>
  <c r="AG35" i="61"/>
  <c r="S35" i="61"/>
  <c r="AG34" i="61"/>
  <c r="S34" i="61"/>
  <c r="L33" i="61"/>
  <c r="H33" i="61"/>
  <c r="AG9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S9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E32" i="61"/>
  <c r="D32" i="61"/>
  <c r="C32" i="61"/>
  <c r="AG8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S8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E31" i="61"/>
  <c r="D31" i="61"/>
  <c r="C31" i="61"/>
  <c r="AG7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S7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E30" i="61"/>
  <c r="D30" i="61"/>
  <c r="C30" i="61"/>
  <c r="AG6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S6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E29" i="61"/>
  <c r="D29" i="61"/>
  <c r="C29" i="61"/>
  <c r="AG5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S5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E28" i="61"/>
  <c r="D28" i="61"/>
  <c r="C28" i="61"/>
  <c r="U26" i="61"/>
  <c r="V26" i="61"/>
  <c r="W26" i="61"/>
  <c r="X26" i="61"/>
  <c r="Y26" i="61"/>
  <c r="Z26" i="61"/>
  <c r="AA26" i="61"/>
  <c r="AB26" i="61"/>
  <c r="AC26" i="61"/>
  <c r="AD26" i="61"/>
  <c r="AE26" i="61"/>
  <c r="AF26" i="61"/>
  <c r="R26" i="61"/>
  <c r="Q26" i="61"/>
  <c r="P26" i="61"/>
  <c r="U25" i="61"/>
  <c r="V25" i="61"/>
  <c r="W25" i="61"/>
  <c r="X25" i="61"/>
  <c r="Y25" i="61"/>
  <c r="Z25" i="61"/>
  <c r="AA25" i="61"/>
  <c r="AB25" i="61"/>
  <c r="AC25" i="61"/>
  <c r="AD25" i="61"/>
  <c r="AE25" i="61"/>
  <c r="AF25" i="61"/>
  <c r="P25" i="61"/>
  <c r="Q25" i="61"/>
  <c r="R25" i="61"/>
  <c r="U24" i="61"/>
  <c r="V24" i="61"/>
  <c r="W24" i="61"/>
  <c r="X24" i="61"/>
  <c r="Y24" i="61"/>
  <c r="Z24" i="61"/>
  <c r="AA24" i="61"/>
  <c r="AB24" i="61"/>
  <c r="AC24" i="61"/>
  <c r="AD24" i="61"/>
  <c r="AE24" i="61"/>
  <c r="AF24" i="61"/>
  <c r="P24" i="61"/>
  <c r="Q24" i="61"/>
  <c r="R24" i="61"/>
  <c r="S24" i="61"/>
  <c r="U23" i="61"/>
  <c r="W23" i="61"/>
  <c r="Y23" i="61"/>
  <c r="AA23" i="61"/>
  <c r="AC23" i="61"/>
  <c r="AE23" i="61"/>
  <c r="AF23" i="61"/>
  <c r="U22" i="61"/>
  <c r="W22" i="61"/>
  <c r="AA22" i="61"/>
  <c r="AC22" i="61"/>
  <c r="AE22" i="61"/>
  <c r="G14" i="61"/>
  <c r="G18" i="61"/>
  <c r="G21" i="61"/>
  <c r="H14" i="61"/>
  <c r="H18" i="61"/>
  <c r="I18" i="61"/>
  <c r="I14" i="61"/>
  <c r="I21" i="61"/>
  <c r="J18" i="61"/>
  <c r="K18" i="61"/>
  <c r="L18" i="61"/>
  <c r="J14" i="61"/>
  <c r="J21" i="61"/>
  <c r="K14" i="61"/>
  <c r="K21" i="61"/>
  <c r="L14" i="61"/>
  <c r="E14" i="61"/>
  <c r="E18" i="61"/>
  <c r="E21" i="61"/>
  <c r="D14" i="61"/>
  <c r="D18" i="61"/>
  <c r="D21" i="61"/>
  <c r="C14" i="61"/>
  <c r="C18" i="61"/>
  <c r="AG20" i="61"/>
  <c r="S20" i="61"/>
  <c r="AG19" i="61"/>
  <c r="S19" i="61"/>
  <c r="AG17" i="61"/>
  <c r="S17" i="61"/>
  <c r="AG16" i="61"/>
  <c r="S16" i="61"/>
  <c r="AG15" i="61"/>
  <c r="S15" i="61"/>
  <c r="AG13" i="61"/>
  <c r="S13" i="61"/>
  <c r="AG12" i="61"/>
  <c r="S12" i="61"/>
  <c r="AG11" i="61"/>
  <c r="S11" i="61"/>
  <c r="V23" i="62"/>
  <c r="AB48" i="62"/>
  <c r="AC48" i="62"/>
  <c r="AD48" i="62"/>
  <c r="AE48" i="62"/>
  <c r="AF48" i="62"/>
  <c r="X22" i="62"/>
  <c r="Y33" i="62"/>
  <c r="AB10" i="62"/>
  <c r="AB14" i="62"/>
  <c r="AB22" i="62"/>
  <c r="AB18" i="62"/>
  <c r="AB23" i="62"/>
  <c r="AC10" i="62"/>
  <c r="AC14" i="62"/>
  <c r="AC18" i="62"/>
  <c r="AC23" i="62"/>
  <c r="AD10" i="62"/>
  <c r="AD14" i="62"/>
  <c r="AD18" i="62"/>
  <c r="AD21" i="62"/>
  <c r="AD27" i="62"/>
  <c r="AD33" i="62"/>
  <c r="AD23" i="62"/>
  <c r="AE10" i="62"/>
  <c r="AE14" i="62"/>
  <c r="AE18" i="62"/>
  <c r="AF10" i="62"/>
  <c r="AF14" i="62"/>
  <c r="AF18" i="62"/>
  <c r="AF23" i="62"/>
  <c r="U23" i="62"/>
  <c r="W23" i="62"/>
  <c r="X23" i="62"/>
  <c r="Y23" i="62"/>
  <c r="Z23" i="62"/>
  <c r="AA23" i="62"/>
  <c r="AE23" i="62"/>
  <c r="AG23" i="62"/>
  <c r="G48" i="62"/>
  <c r="H48" i="62"/>
  <c r="I48" i="62"/>
  <c r="J48" i="62"/>
  <c r="K48" i="62"/>
  <c r="L48" i="62"/>
  <c r="L39" i="62"/>
  <c r="L61" i="62"/>
  <c r="L64" i="62"/>
  <c r="M48" i="62"/>
  <c r="N48" i="62"/>
  <c r="O48" i="62"/>
  <c r="P48" i="62"/>
  <c r="Q48" i="62"/>
  <c r="R48" i="62"/>
  <c r="S48" i="62"/>
  <c r="G39" i="62"/>
  <c r="H39" i="62"/>
  <c r="I39" i="62"/>
  <c r="J39" i="62"/>
  <c r="K39" i="62"/>
  <c r="K61" i="62"/>
  <c r="K64" i="62"/>
  <c r="M39" i="62"/>
  <c r="N39" i="62"/>
  <c r="O39" i="62"/>
  <c r="P39" i="62"/>
  <c r="Q39" i="62"/>
  <c r="R39" i="62"/>
  <c r="G61" i="62"/>
  <c r="H61" i="62"/>
  <c r="I61" i="62"/>
  <c r="J61" i="62"/>
  <c r="M61" i="62"/>
  <c r="N61" i="62"/>
  <c r="N10" i="62"/>
  <c r="N14" i="62"/>
  <c r="N18" i="62"/>
  <c r="N21" i="62"/>
  <c r="N27" i="62"/>
  <c r="N33" i="62"/>
  <c r="O61" i="62"/>
  <c r="P61" i="62"/>
  <c r="Q61" i="62"/>
  <c r="R61" i="62"/>
  <c r="G10" i="62"/>
  <c r="G33" i="62"/>
  <c r="I64" i="62"/>
  <c r="K10" i="62"/>
  <c r="K33" i="62"/>
  <c r="M10" i="62"/>
  <c r="M14" i="62"/>
  <c r="M18" i="62"/>
  <c r="M21" i="62"/>
  <c r="M27" i="62"/>
  <c r="O10" i="62"/>
  <c r="O14" i="62"/>
  <c r="O18" i="62"/>
  <c r="O21" i="62"/>
  <c r="O27" i="62"/>
  <c r="P10" i="62"/>
  <c r="P14" i="62"/>
  <c r="P18" i="62"/>
  <c r="P21" i="62"/>
  <c r="Q10" i="62"/>
  <c r="Q14" i="62"/>
  <c r="Q18" i="62"/>
  <c r="Q21" i="62"/>
  <c r="Q27" i="62"/>
  <c r="Q23" i="62"/>
  <c r="R10" i="62"/>
  <c r="R14" i="62"/>
  <c r="R18" i="62"/>
  <c r="R23" i="62"/>
  <c r="R21" i="62"/>
  <c r="H10" i="62"/>
  <c r="I10" i="62"/>
  <c r="J10" i="62"/>
  <c r="J33" i="62"/>
  <c r="L10" i="62"/>
  <c r="E48" i="62"/>
  <c r="E39" i="62"/>
  <c r="E61" i="62"/>
  <c r="E64" i="62"/>
  <c r="E10" i="62"/>
  <c r="E33" i="62"/>
  <c r="D48" i="62"/>
  <c r="D39" i="62"/>
  <c r="D61" i="62"/>
  <c r="D64" i="62"/>
  <c r="D68" i="62"/>
  <c r="D10" i="62"/>
  <c r="D33" i="62"/>
  <c r="C48" i="62"/>
  <c r="C39" i="62"/>
  <c r="C61" i="62"/>
  <c r="C10" i="62"/>
  <c r="AG73" i="62"/>
  <c r="S73" i="62"/>
  <c r="AG69" i="62"/>
  <c r="S69" i="62"/>
  <c r="AG67" i="62"/>
  <c r="S67" i="62"/>
  <c r="AG66" i="62"/>
  <c r="S66" i="62"/>
  <c r="S63" i="62"/>
  <c r="AG62" i="62"/>
  <c r="S62" i="62"/>
  <c r="S60" i="62"/>
  <c r="AG59" i="62"/>
  <c r="S59" i="62"/>
  <c r="S58" i="62"/>
  <c r="S57" i="62"/>
  <c r="S56" i="62"/>
  <c r="AG55" i="62"/>
  <c r="S55" i="62"/>
  <c r="S54" i="62"/>
  <c r="S53" i="62"/>
  <c r="AG52" i="62"/>
  <c r="S52" i="62"/>
  <c r="S51" i="62"/>
  <c r="AG50" i="62"/>
  <c r="S50" i="62"/>
  <c r="AG49" i="62"/>
  <c r="S49" i="62"/>
  <c r="AG47" i="62"/>
  <c r="S47" i="62"/>
  <c r="AG46" i="62"/>
  <c r="S46" i="62"/>
  <c r="AG45" i="62"/>
  <c r="S45" i="62"/>
  <c r="AG44" i="62"/>
  <c r="S44" i="62"/>
  <c r="AG43" i="62"/>
  <c r="S43" i="62"/>
  <c r="AG42" i="62"/>
  <c r="S42" i="62"/>
  <c r="AG41" i="62"/>
  <c r="S41" i="62"/>
  <c r="AG40" i="62"/>
  <c r="S40" i="62"/>
  <c r="S38" i="62"/>
  <c r="AG37" i="62"/>
  <c r="S37" i="62"/>
  <c r="AG36" i="62"/>
  <c r="S36" i="62"/>
  <c r="AG35" i="62"/>
  <c r="S35" i="62"/>
  <c r="AG34" i="62"/>
  <c r="S34" i="62"/>
  <c r="AA33" i="62"/>
  <c r="W33" i="62"/>
  <c r="L33" i="62"/>
  <c r="H33" i="62"/>
  <c r="C33" i="62"/>
  <c r="AG9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S9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E32" i="62"/>
  <c r="D32" i="62"/>
  <c r="C32" i="62"/>
  <c r="AG8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S8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E31" i="62"/>
  <c r="D31" i="62"/>
  <c r="C31" i="62"/>
  <c r="AG7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S7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E30" i="62"/>
  <c r="D30" i="62"/>
  <c r="C30" i="62"/>
  <c r="AG6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S6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E29" i="62"/>
  <c r="D29" i="62"/>
  <c r="C29" i="62"/>
  <c r="AG5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S5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E28" i="62"/>
  <c r="D28" i="62"/>
  <c r="C28" i="62"/>
  <c r="U26" i="62"/>
  <c r="V26" i="62"/>
  <c r="W26" i="62"/>
  <c r="X26" i="62"/>
  <c r="Y26" i="62"/>
  <c r="Z26" i="62"/>
  <c r="AA26" i="62"/>
  <c r="AB26" i="62"/>
  <c r="AC26" i="62"/>
  <c r="AD26" i="62"/>
  <c r="AE26" i="62"/>
  <c r="AF26" i="62"/>
  <c r="S26" i="62"/>
  <c r="R26" i="62"/>
  <c r="Q26" i="62"/>
  <c r="P26" i="62"/>
  <c r="U25" i="62"/>
  <c r="V25" i="62"/>
  <c r="W25" i="62"/>
  <c r="X25" i="62"/>
  <c r="Y25" i="62"/>
  <c r="Z25" i="62"/>
  <c r="AA25" i="62"/>
  <c r="AB25" i="62"/>
  <c r="AC25" i="62"/>
  <c r="AD25" i="62"/>
  <c r="AE25" i="62"/>
  <c r="AF25" i="62"/>
  <c r="AG25" i="62"/>
  <c r="P25" i="62"/>
  <c r="Q25" i="62"/>
  <c r="R25" i="62"/>
  <c r="S25" i="62"/>
  <c r="U24" i="62"/>
  <c r="V24" i="62"/>
  <c r="W24" i="62"/>
  <c r="X24" i="62"/>
  <c r="Y24" i="62"/>
  <c r="Z24" i="62"/>
  <c r="AA24" i="62"/>
  <c r="AB24" i="62"/>
  <c r="AC24" i="62"/>
  <c r="AD24" i="62"/>
  <c r="AE24" i="62"/>
  <c r="AF24" i="62"/>
  <c r="P24" i="62"/>
  <c r="Q24" i="62"/>
  <c r="R24" i="62"/>
  <c r="P23" i="62"/>
  <c r="S23" i="62"/>
  <c r="U22" i="62"/>
  <c r="V22" i="62"/>
  <c r="W22" i="62"/>
  <c r="Y22" i="62"/>
  <c r="Z22" i="62"/>
  <c r="AA22" i="62"/>
  <c r="AD22" i="62"/>
  <c r="R22" i="62"/>
  <c r="G14" i="62"/>
  <c r="G18" i="62"/>
  <c r="G21" i="62"/>
  <c r="H14" i="62"/>
  <c r="H18" i="62"/>
  <c r="H21" i="62"/>
  <c r="I14" i="62"/>
  <c r="J14" i="62"/>
  <c r="K14" i="62"/>
  <c r="L14" i="62"/>
  <c r="L18" i="62"/>
  <c r="L21" i="62"/>
  <c r="I18" i="62"/>
  <c r="J18" i="62"/>
  <c r="K18" i="62"/>
  <c r="K21" i="62"/>
  <c r="E14" i="62"/>
  <c r="E18" i="62"/>
  <c r="E21" i="62"/>
  <c r="D14" i="62"/>
  <c r="D18" i="62"/>
  <c r="C14" i="62"/>
  <c r="C18" i="62"/>
  <c r="C21" i="62"/>
  <c r="AG20" i="62"/>
  <c r="S20" i="62"/>
  <c r="AG19" i="62"/>
  <c r="S19" i="62"/>
  <c r="AG17" i="62"/>
  <c r="S17" i="62"/>
  <c r="AG16" i="62"/>
  <c r="S16" i="62"/>
  <c r="AG15" i="62"/>
  <c r="S15" i="62"/>
  <c r="AG13" i="62"/>
  <c r="S13" i="62"/>
  <c r="AG12" i="62"/>
  <c r="S12" i="62"/>
  <c r="AG11" i="62"/>
  <c r="S11" i="62"/>
  <c r="G39" i="66"/>
  <c r="H39" i="66"/>
  <c r="I39" i="66"/>
  <c r="I48" i="66"/>
  <c r="I64" i="66"/>
  <c r="I10" i="66"/>
  <c r="I65" i="66"/>
  <c r="J39" i="66"/>
  <c r="L39" i="66"/>
  <c r="M39" i="66"/>
  <c r="N39" i="66"/>
  <c r="O39" i="66"/>
  <c r="P39" i="66"/>
  <c r="Q39" i="66"/>
  <c r="R39" i="66"/>
  <c r="G48" i="66"/>
  <c r="G64" i="66"/>
  <c r="H48" i="66"/>
  <c r="H64" i="66"/>
  <c r="H68" i="66"/>
  <c r="I68" i="66"/>
  <c r="I70" i="66"/>
  <c r="I71" i="66"/>
  <c r="J48" i="66"/>
  <c r="J10" i="66"/>
  <c r="J33" i="66"/>
  <c r="K33" i="66"/>
  <c r="L48" i="66"/>
  <c r="M10" i="66"/>
  <c r="M14" i="66"/>
  <c r="M18" i="66"/>
  <c r="M21" i="66"/>
  <c r="M48" i="66"/>
  <c r="N48" i="66"/>
  <c r="O48" i="66"/>
  <c r="P48" i="66"/>
  <c r="Q48" i="66"/>
  <c r="R48" i="66"/>
  <c r="N10" i="66"/>
  <c r="N14" i="66"/>
  <c r="N18" i="66"/>
  <c r="O10" i="66"/>
  <c r="O14" i="66"/>
  <c r="O18" i="66"/>
  <c r="O21" i="66"/>
  <c r="O27" i="66"/>
  <c r="P10" i="66"/>
  <c r="P14" i="66"/>
  <c r="P18" i="66"/>
  <c r="P21" i="66"/>
  <c r="P27" i="66"/>
  <c r="P33" i="66"/>
  <c r="Q10" i="66"/>
  <c r="Q14" i="66"/>
  <c r="Q18" i="66"/>
  <c r="Q23" i="66"/>
  <c r="R10" i="66"/>
  <c r="R14" i="66"/>
  <c r="R18" i="66"/>
  <c r="R23" i="66"/>
  <c r="R21" i="66"/>
  <c r="R27" i="66"/>
  <c r="S73" i="66"/>
  <c r="S69" i="66"/>
  <c r="S67" i="66"/>
  <c r="S66" i="66"/>
  <c r="S63" i="66"/>
  <c r="S62" i="66"/>
  <c r="S47" i="66"/>
  <c r="S46" i="66"/>
  <c r="S45" i="66"/>
  <c r="S44" i="66"/>
  <c r="S43" i="66"/>
  <c r="S42" i="66"/>
  <c r="S41" i="66"/>
  <c r="S40" i="66"/>
  <c r="S38" i="66"/>
  <c r="S37" i="66"/>
  <c r="S36" i="66"/>
  <c r="S35" i="66"/>
  <c r="S34" i="66"/>
  <c r="P25" i="66"/>
  <c r="Q25" i="66"/>
  <c r="R25" i="66"/>
  <c r="S25" i="66"/>
  <c r="P24" i="66"/>
  <c r="Q24" i="66"/>
  <c r="R24" i="66"/>
  <c r="S24" i="66"/>
  <c r="P23" i="66"/>
  <c r="P22" i="66"/>
  <c r="R22" i="66"/>
  <c r="Q22" i="66"/>
  <c r="S22" i="66"/>
  <c r="G14" i="66"/>
  <c r="H14" i="66"/>
  <c r="I14" i="66"/>
  <c r="J14" i="66"/>
  <c r="K14" i="66"/>
  <c r="K18" i="66"/>
  <c r="K21" i="66"/>
  <c r="L14" i="66"/>
  <c r="G18" i="66"/>
  <c r="H18" i="66"/>
  <c r="I18" i="66"/>
  <c r="J18" i="66"/>
  <c r="L18" i="66"/>
  <c r="L21" i="66"/>
  <c r="S20" i="66"/>
  <c r="S19" i="66"/>
  <c r="S17" i="66"/>
  <c r="S16" i="66"/>
  <c r="S15" i="66"/>
  <c r="S13" i="66"/>
  <c r="S12" i="66"/>
  <c r="S11" i="66"/>
  <c r="G10" i="66"/>
  <c r="H10" i="66"/>
  <c r="H33" i="66"/>
  <c r="L10" i="66"/>
  <c r="L33" i="66"/>
  <c r="S9" i="66"/>
  <c r="S26" i="66"/>
  <c r="S8" i="66"/>
  <c r="S7" i="66"/>
  <c r="S30" i="66"/>
  <c r="S6" i="66"/>
  <c r="S29" i="66"/>
  <c r="S5" i="66"/>
  <c r="K39" i="55"/>
  <c r="K64" i="55"/>
  <c r="M14" i="55"/>
  <c r="M18" i="55"/>
  <c r="M21" i="55"/>
  <c r="M39" i="55"/>
  <c r="W22" i="74"/>
  <c r="AB14" i="74"/>
  <c r="AB48" i="74"/>
  <c r="AC14" i="74"/>
  <c r="AC48" i="74"/>
  <c r="AD14" i="74"/>
  <c r="AD48" i="74"/>
  <c r="AE14" i="74"/>
  <c r="AE48" i="74"/>
  <c r="AF14" i="74"/>
  <c r="AF22" i="74"/>
  <c r="AF48" i="74"/>
  <c r="P22" i="74"/>
  <c r="E48" i="74"/>
  <c r="E39" i="74"/>
  <c r="E64" i="74"/>
  <c r="E10" i="74"/>
  <c r="E33" i="74"/>
  <c r="D48" i="74"/>
  <c r="D39" i="74"/>
  <c r="D64" i="74"/>
  <c r="AG73" i="74"/>
  <c r="AG69" i="74"/>
  <c r="AG67" i="74"/>
  <c r="AG66" i="74"/>
  <c r="AG62" i="74"/>
  <c r="AG48" i="74"/>
  <c r="AG47" i="74"/>
  <c r="AG46" i="74"/>
  <c r="AG45" i="74"/>
  <c r="AG44" i="74"/>
  <c r="AG43" i="74"/>
  <c r="AG42" i="74"/>
  <c r="AG41" i="74"/>
  <c r="AG40" i="74"/>
  <c r="AG37" i="74"/>
  <c r="AG36" i="74"/>
  <c r="AG35" i="74"/>
  <c r="AG34" i="74"/>
  <c r="AG9" i="74"/>
  <c r="AG32" i="74"/>
  <c r="AF32" i="74"/>
  <c r="AE32" i="74"/>
  <c r="AD32" i="74"/>
  <c r="AC32" i="74"/>
  <c r="AB32" i="74"/>
  <c r="AA32" i="74"/>
  <c r="Z32" i="74"/>
  <c r="Y32" i="74"/>
  <c r="X32" i="74"/>
  <c r="W32" i="74"/>
  <c r="V32" i="74"/>
  <c r="U32" i="74"/>
  <c r="R32" i="74"/>
  <c r="Q32" i="74"/>
  <c r="P32" i="74"/>
  <c r="O32" i="74"/>
  <c r="N32" i="74"/>
  <c r="M32" i="74"/>
  <c r="E32" i="74"/>
  <c r="D32" i="74"/>
  <c r="C32" i="74"/>
  <c r="AG8" i="74"/>
  <c r="AG31" i="74"/>
  <c r="AF31" i="74"/>
  <c r="AE31" i="74"/>
  <c r="AD31" i="74"/>
  <c r="AC31" i="74"/>
  <c r="AB31" i="74"/>
  <c r="AA31" i="74"/>
  <c r="Z31" i="74"/>
  <c r="Y31" i="74"/>
  <c r="X31" i="74"/>
  <c r="W31" i="74"/>
  <c r="V31" i="74"/>
  <c r="U31" i="74"/>
  <c r="R31" i="74"/>
  <c r="Q31" i="74"/>
  <c r="P31" i="74"/>
  <c r="O31" i="74"/>
  <c r="N31" i="74"/>
  <c r="M31" i="74"/>
  <c r="E31" i="74"/>
  <c r="D31" i="74"/>
  <c r="C31" i="74"/>
  <c r="AG7" i="74"/>
  <c r="AG30" i="74"/>
  <c r="AF30" i="74"/>
  <c r="AE30" i="74"/>
  <c r="AD30" i="74"/>
  <c r="AC30" i="74"/>
  <c r="AB30" i="74"/>
  <c r="AA30" i="74"/>
  <c r="Z30" i="74"/>
  <c r="Y30" i="74"/>
  <c r="X30" i="74"/>
  <c r="W30" i="74"/>
  <c r="V30" i="74"/>
  <c r="U30" i="74"/>
  <c r="R30" i="74"/>
  <c r="Q30" i="74"/>
  <c r="P30" i="74"/>
  <c r="O30" i="74"/>
  <c r="N30" i="74"/>
  <c r="M30" i="74"/>
  <c r="E30" i="74"/>
  <c r="D30" i="74"/>
  <c r="C30" i="74"/>
  <c r="E29" i="74"/>
  <c r="AG5" i="74"/>
  <c r="AG28" i="74"/>
  <c r="AF28" i="74"/>
  <c r="AE28" i="74"/>
  <c r="AD28" i="74"/>
  <c r="AC28" i="74"/>
  <c r="AB28" i="74"/>
  <c r="AA28" i="74"/>
  <c r="Z28" i="74"/>
  <c r="Y28" i="74"/>
  <c r="X28" i="74"/>
  <c r="W28" i="74"/>
  <c r="V28" i="74"/>
  <c r="U28" i="74"/>
  <c r="S28" i="74"/>
  <c r="R28" i="74"/>
  <c r="Q28" i="74"/>
  <c r="P28" i="74"/>
  <c r="O28" i="74"/>
  <c r="N28" i="74"/>
  <c r="M28" i="74"/>
  <c r="E28" i="74"/>
  <c r="D28" i="74"/>
  <c r="C28" i="74"/>
  <c r="U26" i="74"/>
  <c r="V26" i="74"/>
  <c r="W26" i="74"/>
  <c r="X26" i="74"/>
  <c r="Y26" i="74"/>
  <c r="Z26" i="74"/>
  <c r="AA26" i="74"/>
  <c r="AB26" i="74"/>
  <c r="AC26" i="74"/>
  <c r="AD26" i="74"/>
  <c r="AE26" i="74"/>
  <c r="AF26" i="74"/>
  <c r="S26" i="74"/>
  <c r="R26" i="74"/>
  <c r="Q26" i="74"/>
  <c r="P26" i="74"/>
  <c r="U25" i="74"/>
  <c r="V25" i="74"/>
  <c r="W25" i="74"/>
  <c r="X25" i="74"/>
  <c r="Y25" i="74"/>
  <c r="Z25" i="74"/>
  <c r="AA25" i="74"/>
  <c r="AB25" i="74"/>
  <c r="AC25" i="74"/>
  <c r="AD25" i="74"/>
  <c r="AE25" i="74"/>
  <c r="AF25" i="74"/>
  <c r="P25" i="74"/>
  <c r="Q25" i="74"/>
  <c r="R25" i="74"/>
  <c r="S25" i="74"/>
  <c r="U24" i="74"/>
  <c r="V24" i="74"/>
  <c r="W24" i="74"/>
  <c r="X24" i="74"/>
  <c r="Y24" i="74"/>
  <c r="Z24" i="74"/>
  <c r="AA24" i="74"/>
  <c r="AB24" i="74"/>
  <c r="AC24" i="74"/>
  <c r="AD24" i="74"/>
  <c r="AE24" i="74"/>
  <c r="AF24" i="74"/>
  <c r="P24" i="74"/>
  <c r="Q24" i="74"/>
  <c r="R24" i="74"/>
  <c r="U22" i="74"/>
  <c r="V22" i="74"/>
  <c r="Y22" i="74"/>
  <c r="AB22" i="74"/>
  <c r="AD22" i="74"/>
  <c r="E14" i="74"/>
  <c r="E18" i="74"/>
  <c r="E21" i="74"/>
  <c r="D14" i="74"/>
  <c r="D18" i="74"/>
  <c r="D21" i="74"/>
  <c r="C14" i="74"/>
  <c r="C18" i="74"/>
  <c r="C21" i="74"/>
  <c r="AG20" i="74"/>
  <c r="AG19" i="74"/>
  <c r="AG13" i="74"/>
  <c r="AG12" i="74"/>
  <c r="AG11" i="74"/>
  <c r="AB10" i="66"/>
  <c r="AC10" i="66"/>
  <c r="AD10" i="66"/>
  <c r="AE10" i="66"/>
  <c r="AF10" i="66"/>
  <c r="AB14" i="66"/>
  <c r="AB18" i="66"/>
  <c r="AB23" i="66"/>
  <c r="AB48" i="66"/>
  <c r="AB39" i="66"/>
  <c r="AC39" i="66"/>
  <c r="AD39" i="66"/>
  <c r="AE39" i="66"/>
  <c r="AF39" i="66"/>
  <c r="AG39" i="66"/>
  <c r="AC14" i="66"/>
  <c r="AC18" i="66"/>
  <c r="AC21" i="66"/>
  <c r="AC27" i="66"/>
  <c r="AC33" i="66"/>
  <c r="AC48" i="66"/>
  <c r="AD14" i="66"/>
  <c r="AD18" i="66"/>
  <c r="AD48" i="66"/>
  <c r="AE48" i="66"/>
  <c r="AF48" i="66"/>
  <c r="AG48" i="66"/>
  <c r="AE14" i="66"/>
  <c r="AE18" i="66"/>
  <c r="AF14" i="66"/>
  <c r="AF18" i="66"/>
  <c r="AF23" i="66"/>
  <c r="E48" i="66"/>
  <c r="E39" i="66"/>
  <c r="E64" i="66"/>
  <c r="E10" i="66"/>
  <c r="D48" i="66"/>
  <c r="D39" i="66"/>
  <c r="D64" i="66"/>
  <c r="D10" i="66"/>
  <c r="D33" i="66"/>
  <c r="C48" i="66"/>
  <c r="C39" i="66"/>
  <c r="C64" i="66"/>
  <c r="C10" i="66"/>
  <c r="AG73" i="66"/>
  <c r="AG69" i="66"/>
  <c r="AG67" i="66"/>
  <c r="AG66" i="66"/>
  <c r="AG62" i="66"/>
  <c r="AG47" i="66"/>
  <c r="AG46" i="66"/>
  <c r="AG45" i="66"/>
  <c r="AG44" i="66"/>
  <c r="AG43" i="66"/>
  <c r="AG42" i="66"/>
  <c r="AG41" i="66"/>
  <c r="AG40" i="66"/>
  <c r="AG38" i="66"/>
  <c r="AG37" i="66"/>
  <c r="AG36" i="66"/>
  <c r="AG35" i="66"/>
  <c r="AG34" i="66"/>
  <c r="G33" i="66"/>
  <c r="E33" i="66"/>
  <c r="C33" i="66"/>
  <c r="AG9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E32" i="66"/>
  <c r="D32" i="66"/>
  <c r="C32" i="66"/>
  <c r="AG8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E31" i="66"/>
  <c r="D31" i="66"/>
  <c r="C31" i="66"/>
  <c r="AG7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E30" i="66"/>
  <c r="D30" i="66"/>
  <c r="C30" i="66"/>
  <c r="AG6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E29" i="66"/>
  <c r="D29" i="66"/>
  <c r="C29" i="66"/>
  <c r="AG5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E28" i="66"/>
  <c r="D28" i="66"/>
  <c r="C28" i="66"/>
  <c r="U26" i="66"/>
  <c r="V26" i="66"/>
  <c r="W26" i="66"/>
  <c r="X26" i="66"/>
  <c r="Y26" i="66"/>
  <c r="Z26" i="66"/>
  <c r="AA26" i="66"/>
  <c r="AB26" i="66"/>
  <c r="AC26" i="66"/>
  <c r="AD26" i="66"/>
  <c r="AE26" i="66"/>
  <c r="AF26" i="66"/>
  <c r="R26" i="66"/>
  <c r="Q26" i="66"/>
  <c r="P26" i="66"/>
  <c r="U25" i="66"/>
  <c r="V25" i="66"/>
  <c r="W25" i="66"/>
  <c r="X25" i="66"/>
  <c r="Y25" i="66"/>
  <c r="Z25" i="66"/>
  <c r="AA25" i="66"/>
  <c r="AB25" i="66"/>
  <c r="AC25" i="66"/>
  <c r="AD25" i="66"/>
  <c r="AE25" i="66"/>
  <c r="AF25" i="66"/>
  <c r="U24" i="66"/>
  <c r="V24" i="66"/>
  <c r="W24" i="66"/>
  <c r="X24" i="66"/>
  <c r="Y24" i="66"/>
  <c r="Z24" i="66"/>
  <c r="AA24" i="66"/>
  <c r="AB24" i="66"/>
  <c r="AC24" i="66"/>
  <c r="AD24" i="66"/>
  <c r="AE24" i="66"/>
  <c r="AF24" i="66"/>
  <c r="U23" i="66"/>
  <c r="V23" i="66"/>
  <c r="W23" i="66"/>
  <c r="Y23" i="66"/>
  <c r="Z23" i="66"/>
  <c r="AA23" i="66"/>
  <c r="AC23" i="66"/>
  <c r="AD23" i="66"/>
  <c r="U22" i="66"/>
  <c r="V22" i="66"/>
  <c r="X22" i="66"/>
  <c r="Y22" i="66"/>
  <c r="Z22" i="66"/>
  <c r="AC22" i="66"/>
  <c r="E14" i="66"/>
  <c r="E18" i="66"/>
  <c r="D14" i="66"/>
  <c r="D18" i="66"/>
  <c r="D21" i="66"/>
  <c r="C14" i="66"/>
  <c r="C18" i="66"/>
  <c r="C21" i="66"/>
  <c r="AG20" i="66"/>
  <c r="AG19" i="66"/>
  <c r="AG17" i="66"/>
  <c r="AG16" i="66"/>
  <c r="AG15" i="66"/>
  <c r="AG13" i="66"/>
  <c r="AG12" i="66"/>
  <c r="AG11" i="66"/>
  <c r="J39" i="55"/>
  <c r="I39" i="55"/>
  <c r="H39" i="55"/>
  <c r="H64" i="55"/>
  <c r="H68" i="55"/>
  <c r="G39" i="55"/>
  <c r="K31" i="55"/>
  <c r="J31" i="55"/>
  <c r="I31" i="55"/>
  <c r="H31" i="55"/>
  <c r="G31" i="55"/>
  <c r="K30" i="55"/>
  <c r="J30" i="55"/>
  <c r="I30" i="55"/>
  <c r="H30" i="55"/>
  <c r="G30" i="55"/>
  <c r="K29" i="55"/>
  <c r="J29" i="55"/>
  <c r="I29" i="55"/>
  <c r="H29" i="55"/>
  <c r="G29" i="55"/>
  <c r="K28" i="55"/>
  <c r="J28" i="55"/>
  <c r="I28" i="55"/>
  <c r="H28" i="55"/>
  <c r="G28" i="55"/>
  <c r="K14" i="55"/>
  <c r="K18" i="55"/>
  <c r="K21" i="55"/>
  <c r="J14" i="55"/>
  <c r="J18" i="55"/>
  <c r="J21" i="55"/>
  <c r="I14" i="55"/>
  <c r="I18" i="55"/>
  <c r="H14" i="55"/>
  <c r="H18" i="55"/>
  <c r="G14" i="55"/>
  <c r="G18" i="55"/>
  <c r="AC26" i="55"/>
  <c r="AC32" i="55"/>
  <c r="E32" i="55"/>
  <c r="C32" i="55"/>
  <c r="R19" i="41"/>
  <c r="Q19" i="41"/>
  <c r="P19" i="41"/>
  <c r="O19" i="41"/>
  <c r="N19" i="41"/>
  <c r="M19" i="41"/>
  <c r="L19" i="41"/>
  <c r="W22" i="55"/>
  <c r="W23" i="55"/>
  <c r="AA22" i="55"/>
  <c r="AA23" i="55"/>
  <c r="AB14" i="55"/>
  <c r="AB18" i="55"/>
  <c r="AC10" i="55"/>
  <c r="AC14" i="55"/>
  <c r="AC18" i="55"/>
  <c r="AC21" i="55"/>
  <c r="AC27" i="55"/>
  <c r="AC33" i="55"/>
  <c r="AD14" i="55"/>
  <c r="AD18" i="55"/>
  <c r="AE14" i="55"/>
  <c r="AE18" i="55"/>
  <c r="AF14" i="55"/>
  <c r="AF18" i="55"/>
  <c r="N14" i="55"/>
  <c r="N18" i="55"/>
  <c r="N21" i="55"/>
  <c r="N39" i="55"/>
  <c r="O14" i="55"/>
  <c r="O18" i="55"/>
  <c r="O21" i="55"/>
  <c r="O27" i="55"/>
  <c r="O39" i="55"/>
  <c r="P14" i="55"/>
  <c r="P18" i="55"/>
  <c r="P39" i="55"/>
  <c r="Q39" i="55"/>
  <c r="R39" i="55"/>
  <c r="S39" i="55"/>
  <c r="Q14" i="55"/>
  <c r="Q22" i="55"/>
  <c r="Q18" i="55"/>
  <c r="Q23" i="55"/>
  <c r="R14" i="55"/>
  <c r="R18" i="55"/>
  <c r="E48" i="55"/>
  <c r="E39" i="55"/>
  <c r="E10" i="55"/>
  <c r="D48" i="55"/>
  <c r="D39" i="55"/>
  <c r="D64" i="55"/>
  <c r="D68" i="55"/>
  <c r="D70" i="55"/>
  <c r="C48" i="55"/>
  <c r="C39" i="55"/>
  <c r="C64" i="55"/>
  <c r="C68" i="55"/>
  <c r="C10" i="55"/>
  <c r="C33" i="55"/>
  <c r="AG73" i="55"/>
  <c r="AG69" i="55"/>
  <c r="AG67" i="55"/>
  <c r="AG66" i="55"/>
  <c r="AG62" i="55"/>
  <c r="AG45" i="55"/>
  <c r="AG44" i="55"/>
  <c r="AG43" i="55"/>
  <c r="AG40" i="55"/>
  <c r="AG38" i="55"/>
  <c r="AG37" i="55"/>
  <c r="AG36" i="55"/>
  <c r="AG35" i="55"/>
  <c r="AG34" i="55"/>
  <c r="E33" i="55"/>
  <c r="AG8" i="55"/>
  <c r="AG31" i="55"/>
  <c r="AF31" i="55"/>
  <c r="AE31" i="55"/>
  <c r="AD31" i="55"/>
  <c r="AC31" i="55"/>
  <c r="AB31" i="55"/>
  <c r="AA31" i="55"/>
  <c r="Z31" i="55"/>
  <c r="Y31" i="55"/>
  <c r="X31" i="55"/>
  <c r="W31" i="55"/>
  <c r="V31" i="55"/>
  <c r="U31" i="55"/>
  <c r="S31" i="55"/>
  <c r="R31" i="55"/>
  <c r="Q31" i="55"/>
  <c r="P31" i="55"/>
  <c r="O31" i="55"/>
  <c r="N31" i="55"/>
  <c r="M31" i="55"/>
  <c r="L31" i="55"/>
  <c r="E31" i="55"/>
  <c r="D31" i="55"/>
  <c r="C31" i="55"/>
  <c r="AG7" i="55"/>
  <c r="AG30" i="55"/>
  <c r="AF30" i="55"/>
  <c r="AE30" i="55"/>
  <c r="AD30" i="55"/>
  <c r="AC30" i="55"/>
  <c r="AB30" i="55"/>
  <c r="AA30" i="55"/>
  <c r="Z30" i="55"/>
  <c r="Y30" i="55"/>
  <c r="X30" i="55"/>
  <c r="W30" i="55"/>
  <c r="V30" i="55"/>
  <c r="U30" i="55"/>
  <c r="S30" i="55"/>
  <c r="R30" i="55"/>
  <c r="Q30" i="55"/>
  <c r="P30" i="55"/>
  <c r="O30" i="55"/>
  <c r="N30" i="55"/>
  <c r="M30" i="55"/>
  <c r="L30" i="55"/>
  <c r="E30" i="55"/>
  <c r="D30" i="55"/>
  <c r="C30" i="55"/>
  <c r="AG6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S29" i="55"/>
  <c r="R29" i="55"/>
  <c r="Q29" i="55"/>
  <c r="P29" i="55"/>
  <c r="O29" i="55"/>
  <c r="N29" i="55"/>
  <c r="M29" i="55"/>
  <c r="L29" i="55"/>
  <c r="E29" i="55"/>
  <c r="D29" i="55"/>
  <c r="C29" i="55"/>
  <c r="AG5" i="55"/>
  <c r="AG28" i="55"/>
  <c r="AF28" i="55"/>
  <c r="AE28" i="55"/>
  <c r="AD28" i="55"/>
  <c r="AC28" i="55"/>
  <c r="AB28" i="55"/>
  <c r="AA28" i="55"/>
  <c r="Z28" i="55"/>
  <c r="Y28" i="55"/>
  <c r="X28" i="55"/>
  <c r="W28" i="55"/>
  <c r="V28" i="55"/>
  <c r="U28" i="55"/>
  <c r="R28" i="55"/>
  <c r="Q28" i="55"/>
  <c r="P28" i="55"/>
  <c r="O28" i="55"/>
  <c r="N28" i="55"/>
  <c r="M28" i="55"/>
  <c r="L28" i="55"/>
  <c r="E28" i="55"/>
  <c r="D28" i="55"/>
  <c r="C28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P25" i="55"/>
  <c r="Q25" i="55"/>
  <c r="R25" i="55"/>
  <c r="S25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P24" i="55"/>
  <c r="Q24" i="55"/>
  <c r="R24" i="55"/>
  <c r="V23" i="55"/>
  <c r="Y23" i="55"/>
  <c r="Z23" i="55"/>
  <c r="AC23" i="55"/>
  <c r="AD23" i="55"/>
  <c r="R23" i="55"/>
  <c r="U22" i="55"/>
  <c r="V22" i="55"/>
  <c r="Y22" i="55"/>
  <c r="Z22" i="55"/>
  <c r="AB22" i="55"/>
  <c r="AC22" i="55"/>
  <c r="AE22" i="55"/>
  <c r="AF22" i="55"/>
  <c r="L14" i="55"/>
  <c r="L18" i="55"/>
  <c r="L21" i="55"/>
  <c r="E14" i="55"/>
  <c r="E18" i="55"/>
  <c r="E21" i="55"/>
  <c r="D14" i="55"/>
  <c r="D18" i="55"/>
  <c r="D21" i="55"/>
  <c r="C14" i="55"/>
  <c r="C18" i="55"/>
  <c r="C21" i="55"/>
  <c r="AG20" i="55"/>
  <c r="AG19" i="55"/>
  <c r="AG17" i="55"/>
  <c r="AG16" i="55"/>
  <c r="AG15" i="55"/>
  <c r="AG13" i="55"/>
  <c r="AG12" i="55"/>
  <c r="AG11" i="55"/>
  <c r="G32" i="55"/>
  <c r="CF21" i="40"/>
  <c r="BL13" i="40"/>
  <c r="BA21" i="40"/>
  <c r="AV33" i="40"/>
  <c r="AO26" i="40"/>
  <c r="AJ13" i="40"/>
  <c r="W15" i="40"/>
  <c r="S19" i="40"/>
  <c r="DJ5" i="40"/>
  <c r="AY5" i="40"/>
  <c r="CG5" i="40"/>
  <c r="BZ5" i="40"/>
  <c r="DF5" i="40"/>
  <c r="AW5" i="40"/>
  <c r="AE6" i="40"/>
  <c r="DA5" i="40"/>
  <c r="CN5" i="40"/>
  <c r="CV5" i="40"/>
  <c r="AZ5" i="40"/>
  <c r="AM5" i="40"/>
  <c r="CI7" i="40"/>
  <c r="X22" i="55"/>
  <c r="P23" i="55"/>
  <c r="S23" i="55"/>
  <c r="E74" i="62"/>
  <c r="E75" i="62"/>
  <c r="O64" i="60"/>
  <c r="Q33" i="57"/>
  <c r="P33" i="57"/>
  <c r="Q21" i="55"/>
  <c r="S14" i="55"/>
  <c r="G21" i="55"/>
  <c r="D68" i="60"/>
  <c r="D70" i="60"/>
  <c r="D71" i="60"/>
  <c r="J74" i="60"/>
  <c r="J75" i="60"/>
  <c r="K74" i="58"/>
  <c r="K75" i="58"/>
  <c r="I74" i="62"/>
  <c r="I68" i="62"/>
  <c r="I70" i="62"/>
  <c r="M64" i="61"/>
  <c r="Q22" i="62"/>
  <c r="Q33" i="60"/>
  <c r="I68" i="60"/>
  <c r="I70" i="60"/>
  <c r="I71" i="60"/>
  <c r="D74" i="58"/>
  <c r="D75" i="58"/>
  <c r="D65" i="58"/>
  <c r="U33" i="59"/>
  <c r="R33" i="57"/>
  <c r="AE22" i="66"/>
  <c r="AA22" i="66"/>
  <c r="W22" i="66"/>
  <c r="AE22" i="74"/>
  <c r="AB21" i="62"/>
  <c r="AF22" i="61"/>
  <c r="AB22" i="61"/>
  <c r="X22" i="61"/>
  <c r="L74" i="61"/>
  <c r="L75" i="61"/>
  <c r="R33" i="60"/>
  <c r="S32" i="58"/>
  <c r="G64" i="58"/>
  <c r="J65" i="59"/>
  <c r="AG18" i="57"/>
  <c r="Q22" i="57"/>
  <c r="R22" i="57"/>
  <c r="AA22" i="57"/>
  <c r="W22" i="57"/>
  <c r="J33" i="57"/>
  <c r="G74" i="57"/>
  <c r="AB21" i="57"/>
  <c r="AB27" i="57"/>
  <c r="AB33" i="57"/>
  <c r="Q22" i="63"/>
  <c r="AG14" i="68"/>
  <c r="S14" i="68"/>
  <c r="E27" i="68"/>
  <c r="I33" i="66"/>
  <c r="AC22" i="74"/>
  <c r="E65" i="74"/>
  <c r="S48" i="74"/>
  <c r="AD22" i="61"/>
  <c r="Z22" i="61"/>
  <c r="V22" i="61"/>
  <c r="L65" i="61"/>
  <c r="S18" i="74"/>
  <c r="AA22" i="68"/>
  <c r="W22" i="68"/>
  <c r="G65" i="66"/>
  <c r="X22" i="74"/>
  <c r="AE22" i="59"/>
  <c r="AA22" i="59"/>
  <c r="W22" i="59"/>
  <c r="S14" i="63"/>
  <c r="J64" i="63"/>
  <c r="J65" i="63"/>
  <c r="S48" i="68"/>
  <c r="P22" i="68"/>
  <c r="AG48" i="68"/>
  <c r="S14" i="69"/>
  <c r="C64" i="68"/>
  <c r="BU6" i="40"/>
  <c r="E10" i="69"/>
  <c r="E27" i="69"/>
  <c r="E33" i="69"/>
  <c r="AG5" i="40"/>
  <c r="BU9" i="40"/>
  <c r="BU8" i="40"/>
  <c r="E29" i="68"/>
  <c r="I64" i="55"/>
  <c r="G64" i="55"/>
  <c r="J64" i="55"/>
  <c r="AG33" i="49"/>
  <c r="AG28" i="49"/>
  <c r="S37" i="49"/>
  <c r="AI37" i="49"/>
  <c r="AG44" i="49"/>
  <c r="AG40" i="49"/>
  <c r="AG32" i="49"/>
  <c r="AG43" i="49"/>
  <c r="AG16" i="49"/>
  <c r="S12" i="53"/>
  <c r="AI12" i="53"/>
  <c r="AG18" i="49"/>
  <c r="AG29" i="49"/>
  <c r="AG24" i="49"/>
  <c r="AG20" i="49"/>
  <c r="AG23" i="49"/>
  <c r="AG19" i="49"/>
  <c r="R48" i="49"/>
  <c r="AH12" i="51"/>
  <c r="AG39" i="49"/>
  <c r="R11" i="53"/>
  <c r="S13" i="53"/>
  <c r="AI13" i="53"/>
  <c r="U11" i="53"/>
  <c r="S9" i="54"/>
  <c r="I9" i="55"/>
  <c r="AG16" i="54"/>
  <c r="AA14" i="79"/>
  <c r="Y14" i="79"/>
  <c r="AG14" i="53"/>
  <c r="S14" i="53"/>
  <c r="AI14" i="53"/>
  <c r="G74" i="58"/>
  <c r="G75" i="58"/>
  <c r="G68" i="58"/>
  <c r="V33" i="62"/>
  <c r="S16" i="53"/>
  <c r="AI16" i="53"/>
  <c r="R74" i="57"/>
  <c r="R75" i="57"/>
  <c r="R65" i="57"/>
  <c r="W33" i="63"/>
  <c r="P65" i="57"/>
  <c r="P74" i="57"/>
  <c r="P75" i="57"/>
  <c r="AG36" i="60"/>
  <c r="G68" i="55"/>
  <c r="G70" i="55"/>
  <c r="G71" i="55"/>
  <c r="G74" i="55"/>
  <c r="G75" i="55"/>
  <c r="G65" i="55"/>
  <c r="E41" i="25"/>
  <c r="DS42" i="25"/>
  <c r="DS43" i="25"/>
  <c r="DS39" i="25"/>
  <c r="DW42" i="25"/>
  <c r="EA42" i="25"/>
  <c r="DT43" i="25"/>
  <c r="DX43" i="25"/>
  <c r="EB43" i="25"/>
  <c r="DW39" i="25"/>
  <c r="DW43" i="25"/>
  <c r="EA39" i="25"/>
  <c r="BB43" i="25"/>
  <c r="BB42" i="25"/>
  <c r="BB39" i="25"/>
  <c r="BF43" i="25"/>
  <c r="BJ43" i="25"/>
  <c r="DQ42" i="25"/>
  <c r="DT42" i="25"/>
  <c r="DT39" i="25"/>
  <c r="DR43" i="25"/>
  <c r="DU39" i="25"/>
  <c r="DZ39" i="25"/>
  <c r="DQ39" i="25"/>
  <c r="DR39" i="25"/>
  <c r="DV39" i="25"/>
  <c r="DX39" i="25"/>
  <c r="DY39" i="25"/>
  <c r="EB39" i="25"/>
  <c r="AY43" i="25"/>
  <c r="BD43" i="25"/>
  <c r="BI43" i="25"/>
  <c r="DZ42" i="25"/>
  <c r="DZ43" i="25"/>
  <c r="DY43" i="25"/>
  <c r="DY42" i="25"/>
  <c r="DY47" i="25"/>
  <c r="AZ43" i="25"/>
  <c r="BE43" i="25"/>
  <c r="AM43" i="25"/>
  <c r="Y43" i="25"/>
  <c r="AG43" i="25"/>
  <c r="X39" i="25"/>
  <c r="AB39" i="25"/>
  <c r="AF39" i="25"/>
  <c r="DV42" i="25"/>
  <c r="DV43" i="25"/>
  <c r="DV47" i="25"/>
  <c r="EB42" i="25"/>
  <c r="EB47" i="25"/>
  <c r="DR42" i="25"/>
  <c r="DR47" i="25"/>
  <c r="DU42" i="25"/>
  <c r="DU43" i="25"/>
  <c r="DX42" i="25"/>
  <c r="BA43" i="25"/>
  <c r="BG43" i="25"/>
  <c r="AH43" i="25"/>
  <c r="DQ43" i="25"/>
  <c r="EA43" i="25"/>
  <c r="BC43" i="25"/>
  <c r="BH43" i="25"/>
  <c r="AU43" i="25"/>
  <c r="Z39" i="25"/>
  <c r="AH39" i="25"/>
  <c r="J68" i="63"/>
  <c r="J70" i="63"/>
  <c r="J71" i="63"/>
  <c r="J74" i="63"/>
  <c r="J75" i="63"/>
  <c r="Y33" i="63"/>
  <c r="U33" i="61"/>
  <c r="M65" i="61"/>
  <c r="W33" i="57"/>
  <c r="AG34" i="60"/>
  <c r="W14" i="79"/>
  <c r="U14" i="79"/>
  <c r="AG12" i="53"/>
  <c r="L74" i="55"/>
  <c r="L75" i="55"/>
  <c r="I68" i="55"/>
  <c r="I70" i="55"/>
  <c r="I10" i="55"/>
  <c r="I71" i="55"/>
  <c r="I74" i="55"/>
  <c r="G75" i="57"/>
  <c r="D74" i="55"/>
  <c r="Q74" i="57"/>
  <c r="Q75" i="57"/>
  <c r="Q65" i="57"/>
  <c r="D41" i="25"/>
  <c r="D34" i="25"/>
  <c r="D36" i="25"/>
  <c r="W33" i="66"/>
  <c r="W20" i="40"/>
  <c r="Y20" i="40"/>
  <c r="AC20" i="40"/>
  <c r="E30" i="79"/>
  <c r="AV39" i="25"/>
  <c r="CJ39" i="25"/>
  <c r="AT39" i="25"/>
  <c r="BV39" i="25"/>
  <c r="AY42" i="25"/>
  <c r="AY39" i="25"/>
  <c r="AY47" i="25"/>
  <c r="AY5" i="25"/>
  <c r="AD16" i="74"/>
  <c r="BK12" i="25"/>
  <c r="BK13" i="25"/>
  <c r="AZ42" i="25"/>
  <c r="BA42" i="25"/>
  <c r="BC42" i="25"/>
  <c r="BD42" i="25"/>
  <c r="BE42" i="25"/>
  <c r="BE39" i="25"/>
  <c r="BE47" i="25"/>
  <c r="BF42" i="25"/>
  <c r="BG42" i="25"/>
  <c r="BG39" i="25"/>
  <c r="BH42" i="25"/>
  <c r="BH39" i="25"/>
  <c r="BH47" i="25"/>
  <c r="BI42" i="25"/>
  <c r="BI39" i="25"/>
  <c r="BI47" i="25"/>
  <c r="BJ42" i="25"/>
  <c r="AZ39" i="25"/>
  <c r="BA39" i="25"/>
  <c r="BC39" i="25"/>
  <c r="BD39" i="25"/>
  <c r="BF39" i="25"/>
  <c r="BJ39" i="25"/>
  <c r="BK8" i="25"/>
  <c r="BK10" i="25"/>
  <c r="BK11" i="25"/>
  <c r="BK15" i="25"/>
  <c r="BK16" i="25"/>
  <c r="BK17" i="25"/>
  <c r="BK26" i="25"/>
  <c r="BK28" i="25"/>
  <c r="BK29" i="25"/>
  <c r="BJ5" i="25"/>
  <c r="BH5" i="25"/>
  <c r="BG5" i="25"/>
  <c r="BF5" i="25"/>
  <c r="BD5" i="25"/>
  <c r="BC5" i="25"/>
  <c r="BB5" i="25"/>
  <c r="AZ5" i="25"/>
  <c r="I10" i="69"/>
  <c r="I27" i="69"/>
  <c r="I64" i="69"/>
  <c r="I29" i="69"/>
  <c r="J47" i="49"/>
  <c r="J48" i="49"/>
  <c r="R9" i="49"/>
  <c r="J7" i="51"/>
  <c r="J8" i="51"/>
  <c r="R7" i="51"/>
  <c r="R8" i="51"/>
  <c r="K10" i="69"/>
  <c r="K21" i="69"/>
  <c r="K27" i="69"/>
  <c r="K64" i="69"/>
  <c r="K29" i="74"/>
  <c r="Q25" i="14"/>
  <c r="Q31" i="14"/>
  <c r="L47" i="49"/>
  <c r="L48" i="49"/>
  <c r="H47" i="49"/>
  <c r="H48" i="49"/>
  <c r="P7" i="53"/>
  <c r="P8" i="53"/>
  <c r="L7" i="53"/>
  <c r="O6" i="69"/>
  <c r="O10" i="69"/>
  <c r="G6" i="69"/>
  <c r="AG63" i="61"/>
  <c r="D33" i="25"/>
  <c r="D40" i="25"/>
  <c r="D35" i="25"/>
  <c r="DO42" i="25"/>
  <c r="D42" i="25"/>
  <c r="DO39" i="25"/>
  <c r="D39" i="25"/>
  <c r="D37" i="25"/>
  <c r="DA43" i="25"/>
  <c r="C43" i="25"/>
  <c r="AG60" i="61"/>
  <c r="Z13" i="78"/>
  <c r="EC12" i="25"/>
  <c r="E12" i="25"/>
  <c r="D46" i="25"/>
  <c r="AG63" i="74"/>
  <c r="DO43" i="25"/>
  <c r="D43" i="25"/>
  <c r="D38" i="25"/>
  <c r="DA13" i="25"/>
  <c r="C13" i="25"/>
  <c r="EC13" i="25"/>
  <c r="E13" i="25"/>
  <c r="AG60" i="58"/>
  <c r="DA10" i="25"/>
  <c r="C10" i="25"/>
  <c r="AG63" i="59"/>
  <c r="DO5" i="25"/>
  <c r="EC10" i="25"/>
  <c r="E10" i="25"/>
  <c r="BK9" i="25"/>
  <c r="AG60" i="62"/>
  <c r="AG60" i="57"/>
  <c r="AG57" i="68"/>
  <c r="AG57" i="61"/>
  <c r="AG57" i="74"/>
  <c r="AG57" i="58"/>
  <c r="AG57" i="59"/>
  <c r="AG57" i="62"/>
  <c r="AG57" i="60"/>
  <c r="AG57" i="69"/>
  <c r="AG57" i="66"/>
  <c r="Z29" i="78"/>
  <c r="Q14" i="79"/>
  <c r="AE22" i="79"/>
  <c r="Q21" i="79"/>
  <c r="Q30" i="79"/>
  <c r="H30" i="79"/>
  <c r="P30" i="79"/>
  <c r="G30" i="79"/>
  <c r="J30" i="79"/>
  <c r="L30" i="79"/>
  <c r="N30" i="79"/>
  <c r="AG58" i="58"/>
  <c r="I30" i="79"/>
  <c r="K30" i="79"/>
  <c r="M30" i="79"/>
  <c r="F30" i="79"/>
  <c r="O30" i="79"/>
  <c r="AA30" i="79"/>
  <c r="AG58" i="74"/>
  <c r="AG58" i="60"/>
  <c r="AG58" i="69"/>
  <c r="AG58" i="59"/>
  <c r="AG58" i="55"/>
  <c r="T30" i="79"/>
  <c r="AG58" i="68"/>
  <c r="AE23" i="79"/>
  <c r="AG58" i="63"/>
  <c r="AG51" i="66"/>
  <c r="AG51" i="62"/>
  <c r="AG51" i="61"/>
  <c r="AG51" i="63"/>
  <c r="AG63" i="63"/>
  <c r="AG63" i="62"/>
  <c r="AG54" i="62"/>
  <c r="C40" i="25"/>
  <c r="C41" i="25"/>
  <c r="CS5" i="25"/>
  <c r="C33" i="25"/>
  <c r="DA39" i="25"/>
  <c r="C39" i="25"/>
  <c r="CY5" i="25"/>
  <c r="AG54" i="59"/>
  <c r="AG54" i="61"/>
  <c r="AG54" i="63"/>
  <c r="C36" i="25"/>
  <c r="AP5" i="40"/>
  <c r="BC5" i="40"/>
  <c r="DK18" i="40"/>
  <c r="AS18" i="40"/>
  <c r="CP5" i="40"/>
  <c r="CO16" i="40"/>
  <c r="CA33" i="40"/>
  <c r="BO21" i="40"/>
  <c r="BB14" i="40"/>
  <c r="AZ29" i="40"/>
  <c r="AW24" i="40"/>
  <c r="AS21" i="40"/>
  <c r="AP19" i="40"/>
  <c r="AN33" i="40"/>
  <c r="AK27" i="40"/>
  <c r="AH22" i="40"/>
  <c r="AD22" i="40"/>
  <c r="AA23" i="40"/>
  <c r="Y32" i="40"/>
  <c r="V19" i="40"/>
  <c r="T25" i="40"/>
  <c r="EJ22" i="40"/>
  <c r="DP15" i="40"/>
  <c r="CK22" i="40"/>
  <c r="BX30" i="40"/>
  <c r="BM17" i="40"/>
  <c r="BG27" i="40"/>
  <c r="BB28" i="40"/>
  <c r="AY22" i="40"/>
  <c r="AV19" i="40"/>
  <c r="AR18" i="40"/>
  <c r="AP32" i="40"/>
  <c r="AM27" i="40"/>
  <c r="AJ21" i="40"/>
  <c r="AG14" i="40"/>
  <c r="AC17" i="40"/>
  <c r="Z16" i="40"/>
  <c r="X24" i="40"/>
  <c r="V32" i="40"/>
  <c r="S32" i="40"/>
  <c r="BX5" i="40"/>
  <c r="Y19" i="40"/>
  <c r="AE25" i="40"/>
  <c r="AL13" i="40"/>
  <c r="AQ25" i="40"/>
  <c r="AX31" i="40"/>
  <c r="BD28" i="40"/>
  <c r="BQ22" i="40"/>
  <c r="CW30" i="40"/>
  <c r="AN5" i="40"/>
  <c r="CE5" i="40"/>
  <c r="CS5" i="40"/>
  <c r="BF5" i="40"/>
  <c r="AQ5" i="40"/>
  <c r="CU5" i="40"/>
  <c r="CF5" i="40"/>
  <c r="CD5" i="40"/>
  <c r="CR5" i="40"/>
  <c r="CZ5" i="40"/>
  <c r="AH5" i="40"/>
  <c r="CW8" i="40"/>
  <c r="CW13" i="40"/>
  <c r="BG7" i="40"/>
  <c r="CY5" i="40"/>
  <c r="DK6" i="40"/>
  <c r="U23" i="40"/>
  <c r="Z28" i="40"/>
  <c r="AG29" i="40"/>
  <c r="AL20" i="40"/>
  <c r="AR32" i="40"/>
  <c r="AX16" i="40"/>
  <c r="BE21" i="40"/>
  <c r="BT29" i="40"/>
  <c r="DE20" i="40"/>
  <c r="BY5" i="40"/>
  <c r="DK8" i="40"/>
  <c r="DK13" i="40"/>
  <c r="AB20" i="40"/>
  <c r="Z20" i="40"/>
  <c r="CI20" i="40"/>
  <c r="EG22" i="40"/>
  <c r="W27" i="40"/>
  <c r="AB27" i="40"/>
  <c r="AI28" i="40"/>
  <c r="AN20" i="40"/>
  <c r="AU25" i="40"/>
  <c r="AZ15" i="40"/>
  <c r="BJ30" i="40"/>
  <c r="CC17" i="40"/>
  <c r="CQ5" i="40"/>
  <c r="AK5" i="40"/>
  <c r="AX5" i="40"/>
  <c r="AI5" i="40"/>
  <c r="CW7" i="40"/>
  <c r="CK5" i="40"/>
  <c r="AU14" i="40"/>
  <c r="BG20" i="40"/>
  <c r="AL5" i="40"/>
  <c r="V20" i="40"/>
  <c r="DI31" i="40"/>
  <c r="EH25" i="40"/>
  <c r="EA24" i="40"/>
  <c r="DY27" i="40"/>
  <c r="DW20" i="40"/>
  <c r="DV28" i="40"/>
  <c r="DU29" i="40"/>
  <c r="DT29" i="40"/>
  <c r="DS30" i="40"/>
  <c r="DR30" i="40"/>
  <c r="DQ22" i="40"/>
  <c r="DP16" i="40"/>
  <c r="DP31" i="40"/>
  <c r="DO23" i="40"/>
  <c r="DN17" i="40"/>
  <c r="DN27" i="40"/>
  <c r="DM17" i="40"/>
  <c r="DM28" i="40"/>
  <c r="DK19" i="40"/>
  <c r="DK32" i="40"/>
  <c r="DJ24" i="40"/>
  <c r="DI15" i="40"/>
  <c r="DI25" i="40"/>
  <c r="DI33" i="40"/>
  <c r="DH22" i="40"/>
  <c r="DH29" i="40"/>
  <c r="DG16" i="40"/>
  <c r="DG24" i="40"/>
  <c r="DG30" i="40"/>
  <c r="DF17" i="40"/>
  <c r="DF25" i="40"/>
  <c r="DF32" i="40"/>
  <c r="DE17" i="40"/>
  <c r="DE25" i="40"/>
  <c r="DE33" i="40"/>
  <c r="DD19" i="40"/>
  <c r="DD27" i="40"/>
  <c r="DD13" i="40"/>
  <c r="DC20" i="40"/>
  <c r="DC28" i="40"/>
  <c r="DB14" i="40"/>
  <c r="DB20" i="40"/>
  <c r="DB28" i="40"/>
  <c r="DA21" i="40"/>
  <c r="DA29" i="40"/>
  <c r="CZ15" i="40"/>
  <c r="CZ22" i="40"/>
  <c r="CZ30" i="40"/>
  <c r="CY16" i="40"/>
  <c r="CY22" i="40"/>
  <c r="CY30" i="40"/>
  <c r="CW17" i="40"/>
  <c r="CW26" i="40"/>
  <c r="CV16" i="40"/>
  <c r="CV23" i="40"/>
  <c r="CV29" i="40"/>
  <c r="CU16" i="40"/>
  <c r="CU23" i="40"/>
  <c r="CU30" i="40"/>
  <c r="CT17" i="40"/>
  <c r="CT23" i="40"/>
  <c r="CT30" i="40"/>
  <c r="CS17" i="40"/>
  <c r="CS24" i="40"/>
  <c r="CS30" i="40"/>
  <c r="CR17" i="40"/>
  <c r="CR24" i="40"/>
  <c r="CQ18" i="40"/>
  <c r="CQ24" i="40"/>
  <c r="CQ31" i="40"/>
  <c r="CP18" i="40"/>
  <c r="CP25" i="40"/>
  <c r="CP31" i="40"/>
  <c r="CO18" i="40"/>
  <c r="CO25" i="40"/>
  <c r="CO32" i="40"/>
  <c r="CN19" i="40"/>
  <c r="CN25" i="40"/>
  <c r="CN32" i="40"/>
  <c r="CM19" i="40"/>
  <c r="EG23" i="40"/>
  <c r="EE28" i="40"/>
  <c r="DX18" i="40"/>
  <c r="DV15" i="40"/>
  <c r="DU25" i="40"/>
  <c r="DS15" i="40"/>
  <c r="DR19" i="40"/>
  <c r="DQ21" i="40"/>
  <c r="DP21" i="40"/>
  <c r="DO16" i="40"/>
  <c r="DN15" i="40"/>
  <c r="DN31" i="40"/>
  <c r="DM22" i="40"/>
  <c r="DK17" i="40"/>
  <c r="DJ17" i="40"/>
  <c r="DJ29" i="40"/>
  <c r="DI24" i="40"/>
  <c r="DH16" i="40"/>
  <c r="DH25" i="40"/>
  <c r="DG14" i="40"/>
  <c r="DG25" i="40"/>
  <c r="DF22" i="40"/>
  <c r="DF33" i="40"/>
  <c r="DE21" i="40"/>
  <c r="DE32" i="40"/>
  <c r="DD21" i="40"/>
  <c r="DD29" i="40"/>
  <c r="DC19" i="40"/>
  <c r="DC29" i="40"/>
  <c r="DB18" i="40"/>
  <c r="DB26" i="40"/>
  <c r="DA15" i="40"/>
  <c r="DA25" i="40"/>
  <c r="CZ14" i="40"/>
  <c r="CZ25" i="40"/>
  <c r="CZ33" i="40"/>
  <c r="CY21" i="40"/>
  <c r="CY32" i="40"/>
  <c r="CW23" i="40"/>
  <c r="CW32" i="40"/>
  <c r="CV24" i="40"/>
  <c r="CV33" i="40"/>
  <c r="CU22" i="40"/>
  <c r="CU32" i="40"/>
  <c r="CT19" i="40"/>
  <c r="CT29" i="40"/>
  <c r="CS18" i="40"/>
  <c r="CS28" i="40"/>
  <c r="CR15" i="40"/>
  <c r="CR25" i="40"/>
  <c r="CQ14" i="40"/>
  <c r="CQ23" i="40"/>
  <c r="CQ13" i="40"/>
  <c r="CP21" i="40"/>
  <c r="CP30" i="40"/>
  <c r="CO20" i="40"/>
  <c r="CO29" i="40"/>
  <c r="CN16" i="40"/>
  <c r="CN27" i="40"/>
  <c r="CM15" i="40"/>
  <c r="CM24" i="40"/>
  <c r="CL17" i="40"/>
  <c r="CL25" i="40"/>
  <c r="CL31" i="40"/>
  <c r="CK17" i="40"/>
  <c r="CK25" i="40"/>
  <c r="CK32" i="40"/>
  <c r="CI19" i="40"/>
  <c r="CI28" i="40"/>
  <c r="CH16" i="40"/>
  <c r="CH23" i="40"/>
  <c r="CH31" i="40"/>
  <c r="CG16" i="40"/>
  <c r="CG23" i="40"/>
  <c r="CG31" i="40"/>
  <c r="CF17" i="40"/>
  <c r="CF23" i="40"/>
  <c r="CF30" i="40"/>
  <c r="CE20" i="40"/>
  <c r="CE25" i="40"/>
  <c r="CE30" i="40"/>
  <c r="CD15" i="40"/>
  <c r="CD20" i="40"/>
  <c r="CD25" i="40"/>
  <c r="CD31" i="40"/>
  <c r="CC16" i="40"/>
  <c r="CC21" i="40"/>
  <c r="CC27" i="40"/>
  <c r="CC32" i="40"/>
  <c r="CB16" i="40"/>
  <c r="CB22" i="40"/>
  <c r="CB27" i="40"/>
  <c r="CB32" i="40"/>
  <c r="CA18" i="40"/>
  <c r="CA23" i="40"/>
  <c r="CA28" i="40"/>
  <c r="BZ14" i="40"/>
  <c r="BZ19" i="40"/>
  <c r="BZ24" i="40"/>
  <c r="BZ30" i="40"/>
  <c r="BY15" i="40"/>
  <c r="BY20" i="40"/>
  <c r="BY26" i="40"/>
  <c r="BY32" i="40"/>
  <c r="BX16" i="40"/>
  <c r="BX22" i="40"/>
  <c r="BX27" i="40"/>
  <c r="BX32" i="40"/>
  <c r="BW17" i="40"/>
  <c r="BW22" i="40"/>
  <c r="BW27" i="40"/>
  <c r="BW13" i="40"/>
  <c r="BU20" i="40"/>
  <c r="BU25" i="40"/>
  <c r="BU32" i="40"/>
  <c r="BT17" i="40"/>
  <c r="BT22" i="40"/>
  <c r="BT28" i="40"/>
  <c r="BT33" i="40"/>
  <c r="BS17" i="40"/>
  <c r="BS23" i="40"/>
  <c r="BS28" i="40"/>
  <c r="BS33" i="40"/>
  <c r="BR18" i="40"/>
  <c r="BR23" i="40"/>
  <c r="BR28" i="40"/>
  <c r="BR13" i="40"/>
  <c r="BQ18" i="40"/>
  <c r="BQ23" i="40"/>
  <c r="BQ29" i="40"/>
  <c r="BQ13" i="40"/>
  <c r="BP18" i="40"/>
  <c r="BP24" i="40"/>
  <c r="BP29" i="40"/>
  <c r="BP13" i="40"/>
  <c r="BO19" i="40"/>
  <c r="BO24" i="40"/>
  <c r="BO29" i="40"/>
  <c r="BN14" i="40"/>
  <c r="BN19" i="40"/>
  <c r="BN24" i="40"/>
  <c r="BN30" i="40"/>
  <c r="BM14" i="40"/>
  <c r="BM19" i="40"/>
  <c r="BM25" i="40"/>
  <c r="BM30" i="40"/>
  <c r="BL14" i="40"/>
  <c r="BL20" i="40"/>
  <c r="BL25" i="40"/>
  <c r="BL30" i="40"/>
  <c r="BK15" i="40"/>
  <c r="BK20" i="40"/>
  <c r="BK25" i="40"/>
  <c r="BK31" i="40"/>
  <c r="BJ15" i="40"/>
  <c r="BJ20" i="40"/>
  <c r="BJ26" i="40"/>
  <c r="BJ31" i="40"/>
  <c r="BI15" i="40"/>
  <c r="BI21" i="40"/>
  <c r="BI26" i="40"/>
  <c r="BI31" i="40"/>
  <c r="BG17" i="40"/>
  <c r="BG23" i="40"/>
  <c r="BG28" i="40"/>
  <c r="BF15" i="40"/>
  <c r="BF21" i="40"/>
  <c r="EJ26" i="40"/>
  <c r="EM29" i="40"/>
  <c r="DX13" i="40"/>
  <c r="DU14" i="40"/>
  <c r="DT19" i="40"/>
  <c r="DS26" i="40"/>
  <c r="DQ14" i="40"/>
  <c r="DQ30" i="40"/>
  <c r="DP28" i="40"/>
  <c r="DO28" i="40"/>
  <c r="DN22" i="40"/>
  <c r="DM16" i="40"/>
  <c r="DM32" i="40"/>
  <c r="DK26" i="40"/>
  <c r="DJ23" i="40"/>
  <c r="DI19" i="40"/>
  <c r="DI29" i="40"/>
  <c r="DH20" i="40"/>
  <c r="DH30" i="40"/>
  <c r="DG20" i="40"/>
  <c r="DG29" i="40"/>
  <c r="DF20" i="40"/>
  <c r="DF28" i="40"/>
  <c r="DE16" i="40"/>
  <c r="DE27" i="40"/>
  <c r="DD16" i="40"/>
  <c r="DD24" i="40"/>
  <c r="DC15" i="40"/>
  <c r="DC24" i="40"/>
  <c r="DC33" i="40"/>
  <c r="DB23" i="40"/>
  <c r="DB31" i="40"/>
  <c r="DA19" i="40"/>
  <c r="DA30" i="40"/>
  <c r="CZ19" i="40"/>
  <c r="CZ27" i="40"/>
  <c r="CY17" i="40"/>
  <c r="CY26" i="40"/>
  <c r="CW16" i="40"/>
  <c r="CW28" i="40"/>
  <c r="CV19" i="40"/>
  <c r="CV28" i="40"/>
  <c r="CU18" i="40"/>
  <c r="CU27" i="40"/>
  <c r="CT25" i="40"/>
  <c r="CT13" i="40"/>
  <c r="CS22" i="40"/>
  <c r="CS33" i="40"/>
  <c r="CR29" i="40"/>
  <c r="CQ19" i="40"/>
  <c r="CQ28" i="40"/>
  <c r="CP15" i="40"/>
  <c r="CP26" i="40"/>
  <c r="CO14" i="40"/>
  <c r="CO24" i="40"/>
  <c r="EF24" i="40"/>
  <c r="DX25" i="40"/>
  <c r="DT15" i="40"/>
  <c r="DR26" i="40"/>
  <c r="DP23" i="40"/>
  <c r="DN21" i="40"/>
  <c r="DM26" i="40"/>
  <c r="DJ19" i="40"/>
  <c r="DI27" i="40"/>
  <c r="DH28" i="40"/>
  <c r="DG26" i="40"/>
  <c r="DF26" i="40"/>
  <c r="DE23" i="40"/>
  <c r="DD23" i="40"/>
  <c r="DC23" i="40"/>
  <c r="DB19" i="40"/>
  <c r="DA18" i="40"/>
  <c r="CZ17" i="40"/>
  <c r="CY14" i="40"/>
  <c r="CY33" i="40"/>
  <c r="CV17" i="40"/>
  <c r="CU14" i="40"/>
  <c r="CT33" i="40"/>
  <c r="CS29" i="40"/>
  <c r="CR28" i="40"/>
  <c r="CQ26" i="40"/>
  <c r="CP23" i="40"/>
  <c r="CO21" i="40"/>
  <c r="CN15" i="40"/>
  <c r="CN29" i="40"/>
  <c r="CM30" i="40"/>
  <c r="CL19" i="40"/>
  <c r="CL27" i="40"/>
  <c r="CK16" i="40"/>
  <c r="CK26" i="40"/>
  <c r="CI16" i="40"/>
  <c r="CI26" i="40"/>
  <c r="CH17" i="40"/>
  <c r="CH27" i="40"/>
  <c r="CG15" i="40"/>
  <c r="CG26" i="40"/>
  <c r="CG13" i="40"/>
  <c r="CF22" i="40"/>
  <c r="CE17" i="40"/>
  <c r="CE24" i="40"/>
  <c r="CE32" i="40"/>
  <c r="CD17" i="40"/>
  <c r="CD24" i="40"/>
  <c r="CD32" i="40"/>
  <c r="CC19" i="40"/>
  <c r="CC25" i="40"/>
  <c r="CC33" i="40"/>
  <c r="CB19" i="40"/>
  <c r="CB26" i="40"/>
  <c r="CA14" i="40"/>
  <c r="CA20" i="40"/>
  <c r="CA27" i="40"/>
  <c r="BZ15" i="40"/>
  <c r="BZ22" i="40"/>
  <c r="BZ28" i="40"/>
  <c r="BY16" i="40"/>
  <c r="BY23" i="40"/>
  <c r="BY30" i="40"/>
  <c r="BX18" i="40"/>
  <c r="BX24" i="40"/>
  <c r="BX31" i="40"/>
  <c r="BW18" i="40"/>
  <c r="BW25" i="40"/>
  <c r="BW32" i="40"/>
  <c r="BU21" i="40"/>
  <c r="BU28" i="40"/>
  <c r="BT16" i="40"/>
  <c r="BT24" i="40"/>
  <c r="BT30" i="40"/>
  <c r="BS16" i="40"/>
  <c r="BS24" i="40"/>
  <c r="BS31" i="40"/>
  <c r="BR16" i="40"/>
  <c r="BR24" i="40"/>
  <c r="BR31" i="40"/>
  <c r="BQ17" i="40"/>
  <c r="BQ25" i="40"/>
  <c r="BQ31" i="40"/>
  <c r="BP17" i="40"/>
  <c r="BP25" i="40"/>
  <c r="BP32" i="40"/>
  <c r="BO17" i="40"/>
  <c r="BO25" i="40"/>
  <c r="BO32" i="40"/>
  <c r="BN18" i="40"/>
  <c r="BN26" i="40"/>
  <c r="BN32" i="40"/>
  <c r="BM18" i="40"/>
  <c r="BM26" i="40"/>
  <c r="BM33" i="40"/>
  <c r="BL18" i="40"/>
  <c r="BL26" i="40"/>
  <c r="BL33" i="40"/>
  <c r="BK19" i="40"/>
  <c r="BK27" i="40"/>
  <c r="BK33" i="40"/>
  <c r="BJ19" i="40"/>
  <c r="BJ27" i="40"/>
  <c r="BJ13" i="40"/>
  <c r="BI19" i="40"/>
  <c r="BI27" i="40"/>
  <c r="BI13" i="40"/>
  <c r="BG22" i="40"/>
  <c r="BG30" i="40"/>
  <c r="BF18" i="40"/>
  <c r="BF25" i="40"/>
  <c r="BF30" i="40"/>
  <c r="BE14" i="40"/>
  <c r="BE20" i="40"/>
  <c r="BE25" i="40"/>
  <c r="BE30" i="40"/>
  <c r="BD15" i="40"/>
  <c r="BD20" i="40"/>
  <c r="BD25" i="40"/>
  <c r="BC15" i="40"/>
  <c r="BC26" i="40"/>
  <c r="BC32" i="40"/>
  <c r="BB16" i="40"/>
  <c r="BB22" i="40"/>
  <c r="BB27" i="40"/>
  <c r="BB32" i="40"/>
  <c r="BA17" i="40"/>
  <c r="BA22" i="40"/>
  <c r="BA27" i="40"/>
  <c r="BA13" i="40"/>
  <c r="AZ17" i="40"/>
  <c r="AZ22" i="40"/>
  <c r="AZ28" i="40"/>
  <c r="AZ33" i="40"/>
  <c r="AY18" i="40"/>
  <c r="AY23" i="40"/>
  <c r="AY28" i="40"/>
  <c r="AX14" i="40"/>
  <c r="AX19" i="40"/>
  <c r="AX24" i="40"/>
  <c r="AX30" i="40"/>
  <c r="AW14" i="40"/>
  <c r="AW20" i="40"/>
  <c r="AW25" i="40"/>
  <c r="AW30" i="40"/>
  <c r="AV16" i="40"/>
  <c r="AV21" i="40"/>
  <c r="AV27" i="40"/>
  <c r="AV32" i="40"/>
  <c r="AU16" i="40"/>
  <c r="AU21" i="40"/>
  <c r="AU26" i="40"/>
  <c r="AU31" i="40"/>
  <c r="AS17" i="40"/>
  <c r="AS24" i="40"/>
  <c r="AS29" i="40"/>
  <c r="AR17" i="40"/>
  <c r="AR22" i="40"/>
  <c r="AR28" i="40"/>
  <c r="AR33" i="40"/>
  <c r="AQ17" i="40"/>
  <c r="AQ23" i="40"/>
  <c r="AQ28" i="40"/>
  <c r="AQ33" i="40"/>
  <c r="AP18" i="40"/>
  <c r="AP23" i="40"/>
  <c r="AP28" i="40"/>
  <c r="AP13" i="40"/>
  <c r="AO18" i="40"/>
  <c r="AO23" i="40"/>
  <c r="AO29" i="40"/>
  <c r="AN18" i="40"/>
  <c r="AN24" i="40"/>
  <c r="AN29" i="40"/>
  <c r="AN13" i="40"/>
  <c r="AM19" i="40"/>
  <c r="AM24" i="40"/>
  <c r="AM29" i="40"/>
  <c r="AL14" i="40"/>
  <c r="AL19" i="40"/>
  <c r="AL24" i="40"/>
  <c r="AL30" i="40"/>
  <c r="AK14" i="40"/>
  <c r="AK19" i="40"/>
  <c r="AK25" i="40"/>
  <c r="AK30" i="40"/>
  <c r="AJ14" i="40"/>
  <c r="AJ20" i="40"/>
  <c r="AJ25" i="40"/>
  <c r="AJ30" i="40"/>
  <c r="AI15" i="40"/>
  <c r="AI20" i="40"/>
  <c r="AI25" i="40"/>
  <c r="AI31" i="40"/>
  <c r="AH15" i="40"/>
  <c r="AH20" i="40"/>
  <c r="AH26" i="40"/>
  <c r="AH31" i="40"/>
  <c r="AG15" i="40"/>
  <c r="AG21" i="40"/>
  <c r="AG26" i="40"/>
  <c r="AG31" i="40"/>
  <c r="AE17" i="40"/>
  <c r="AE24" i="40"/>
  <c r="AE29" i="40"/>
  <c r="AD17" i="40"/>
  <c r="AD23" i="40"/>
  <c r="AD29" i="40"/>
  <c r="AC14" i="40"/>
  <c r="AC19" i="40"/>
  <c r="AC26" i="40"/>
  <c r="AC32" i="40"/>
  <c r="AB17" i="40"/>
  <c r="AB23" i="40"/>
  <c r="AB28" i="40"/>
  <c r="AA14" i="40"/>
  <c r="AA19" i="40"/>
  <c r="AA25" i="40"/>
  <c r="AA32" i="40"/>
  <c r="EM22" i="40"/>
  <c r="DV24" i="40"/>
  <c r="DS19" i="40"/>
  <c r="DQ28" i="40"/>
  <c r="DO22" i="40"/>
  <c r="DN33" i="40"/>
  <c r="DK24" i="40"/>
  <c r="DJ13" i="40"/>
  <c r="DH17" i="40"/>
  <c r="DG18" i="40"/>
  <c r="DF16" i="40"/>
  <c r="DE15" i="40"/>
  <c r="DE13" i="40"/>
  <c r="DD33" i="40"/>
  <c r="DC31" i="40"/>
  <c r="DB30" i="40"/>
  <c r="DA26" i="40"/>
  <c r="CZ26" i="40"/>
  <c r="CY25" i="40"/>
  <c r="CW24" i="40"/>
  <c r="CV27" i="40"/>
  <c r="CU24" i="40"/>
  <c r="CT22" i="40"/>
  <c r="CS20" i="40"/>
  <c r="CR19" i="40"/>
  <c r="CQ15" i="40"/>
  <c r="CP14" i="40"/>
  <c r="CP13" i="40"/>
  <c r="CO30" i="40"/>
  <c r="CN21" i="40"/>
  <c r="CM14" i="40"/>
  <c r="CM26" i="40"/>
  <c r="CL14" i="40"/>
  <c r="CL22" i="40"/>
  <c r="CL33" i="40"/>
  <c r="CK21" i="40"/>
  <c r="CK30" i="40"/>
  <c r="CI23" i="40"/>
  <c r="CI32" i="40"/>
  <c r="CH21" i="40"/>
  <c r="CH32" i="40"/>
  <c r="CG20" i="40"/>
  <c r="CG28" i="40"/>
  <c r="CF27" i="40"/>
  <c r="CE21" i="40"/>
  <c r="CE28" i="40"/>
  <c r="CE13" i="40"/>
  <c r="CD21" i="40"/>
  <c r="CD28" i="40"/>
  <c r="CC15" i="40"/>
  <c r="CC23" i="40"/>
  <c r="CC29" i="40"/>
  <c r="CB15" i="40"/>
  <c r="CB23" i="40"/>
  <c r="CB30" i="40"/>
  <c r="CA16" i="40"/>
  <c r="CA24" i="40"/>
  <c r="CA32" i="40"/>
  <c r="BZ18" i="40"/>
  <c r="BZ26" i="40"/>
  <c r="BZ33" i="40"/>
  <c r="BY19" i="40"/>
  <c r="BY27" i="40"/>
  <c r="BX14" i="40"/>
  <c r="BX20" i="40"/>
  <c r="BX28" i="40"/>
  <c r="BW14" i="40"/>
  <c r="BW21" i="40"/>
  <c r="BW29" i="40"/>
  <c r="BU16" i="40"/>
  <c r="BU24" i="40"/>
  <c r="BU33" i="40"/>
  <c r="BT20" i="40"/>
  <c r="BT26" i="40"/>
  <c r="BT13" i="40"/>
  <c r="BS20" i="40"/>
  <c r="BS27" i="40"/>
  <c r="BR14" i="40"/>
  <c r="BR20" i="40"/>
  <c r="BR27" i="40"/>
  <c r="BQ14" i="40"/>
  <c r="BQ21" i="40"/>
  <c r="BQ27" i="40"/>
  <c r="EC26" i="40"/>
  <c r="DT25" i="40"/>
  <c r="DO15" i="40"/>
  <c r="DM33" i="40"/>
  <c r="DI32" i="40"/>
  <c r="DG32" i="40"/>
  <c r="DE28" i="40"/>
  <c r="DC25" i="40"/>
  <c r="DA23" i="40"/>
  <c r="CY20" i="40"/>
  <c r="CV21" i="40"/>
  <c r="CT18" i="40"/>
  <c r="CS13" i="40"/>
  <c r="CQ30" i="40"/>
  <c r="CO26" i="40"/>
  <c r="CN31" i="40"/>
  <c r="CM32" i="40"/>
  <c r="CL30" i="40"/>
  <c r="CK28" i="40"/>
  <c r="CI30" i="40"/>
  <c r="CH28" i="40"/>
  <c r="CG27" i="40"/>
  <c r="CF26" i="40"/>
  <c r="CE18" i="40"/>
  <c r="CE33" i="40"/>
  <c r="CD27" i="40"/>
  <c r="CC20" i="40"/>
  <c r="CB14" i="40"/>
  <c r="CB28" i="40"/>
  <c r="CA22" i="40"/>
  <c r="BZ16" i="40"/>
  <c r="BZ32" i="40"/>
  <c r="BY24" i="40"/>
  <c r="BX19" i="40"/>
  <c r="BX13" i="40"/>
  <c r="BW26" i="40"/>
  <c r="BU23" i="40"/>
  <c r="BT18" i="40"/>
  <c r="BT32" i="40"/>
  <c r="BS25" i="40"/>
  <c r="BR19" i="40"/>
  <c r="BR32" i="40"/>
  <c r="BQ26" i="40"/>
  <c r="BP16" i="40"/>
  <c r="BP26" i="40"/>
  <c r="BO15" i="40"/>
  <c r="BO23" i="40"/>
  <c r="BO33" i="40"/>
  <c r="BN22" i="40"/>
  <c r="BN31" i="40"/>
  <c r="BM21" i="40"/>
  <c r="BM29" i="40"/>
  <c r="BL17" i="40"/>
  <c r="BL28" i="40"/>
  <c r="BK16" i="40"/>
  <c r="BK24" i="40"/>
  <c r="BJ14" i="40"/>
  <c r="BJ23" i="40"/>
  <c r="BJ32" i="40"/>
  <c r="BI22" i="40"/>
  <c r="BI30" i="40"/>
  <c r="BG19" i="40"/>
  <c r="BG32" i="40"/>
  <c r="BF22" i="40"/>
  <c r="BF29" i="40"/>
  <c r="BE16" i="40"/>
  <c r="BE22" i="40"/>
  <c r="BE29" i="40"/>
  <c r="BD16" i="40"/>
  <c r="BD23" i="40"/>
  <c r="BD29" i="40"/>
  <c r="BC16" i="40"/>
  <c r="BC23" i="40"/>
  <c r="BC30" i="40"/>
  <c r="BB18" i="40"/>
  <c r="BB24" i="40"/>
  <c r="BB31" i="40"/>
  <c r="BA18" i="40"/>
  <c r="BA25" i="40"/>
  <c r="BA32" i="40"/>
  <c r="AZ18" i="40"/>
  <c r="AZ25" i="40"/>
  <c r="AZ32" i="40"/>
  <c r="AY19" i="40"/>
  <c r="AY26" i="40"/>
  <c r="AY33" i="40"/>
  <c r="AX20" i="40"/>
  <c r="AX27" i="40"/>
  <c r="AX13" i="40"/>
  <c r="AW21" i="40"/>
  <c r="AW28" i="40"/>
  <c r="AV14" i="40"/>
  <c r="AV23" i="40"/>
  <c r="AV29" i="40"/>
  <c r="AU15" i="40"/>
  <c r="AU22" i="40"/>
  <c r="AU29" i="40"/>
  <c r="AS15" i="40"/>
  <c r="AS25" i="40"/>
  <c r="AR14" i="40"/>
  <c r="AR21" i="40"/>
  <c r="AR29" i="40"/>
  <c r="AQ15" i="40"/>
  <c r="AQ21" i="40"/>
  <c r="AQ29" i="40"/>
  <c r="AP15" i="40"/>
  <c r="AP22" i="40"/>
  <c r="AP30" i="40"/>
  <c r="AO15" i="40"/>
  <c r="AO22" i="40"/>
  <c r="AO30" i="40"/>
  <c r="AN16" i="40"/>
  <c r="AN22" i="40"/>
  <c r="AN30" i="40"/>
  <c r="AM16" i="40"/>
  <c r="AM23" i="40"/>
  <c r="AM31" i="40"/>
  <c r="AL16" i="40"/>
  <c r="AL23" i="40"/>
  <c r="AL31" i="40"/>
  <c r="AK17" i="40"/>
  <c r="AK23" i="40"/>
  <c r="AK31" i="40"/>
  <c r="AJ17" i="40"/>
  <c r="AJ24" i="40"/>
  <c r="AJ32" i="40"/>
  <c r="AI17" i="40"/>
  <c r="AI24" i="40"/>
  <c r="AI32" i="40"/>
  <c r="AH18" i="40"/>
  <c r="AH24" i="40"/>
  <c r="AH32" i="40"/>
  <c r="AG18" i="40"/>
  <c r="AG25" i="40"/>
  <c r="AG33" i="40"/>
  <c r="AE21" i="40"/>
  <c r="AE28" i="40"/>
  <c r="AD19" i="40"/>
  <c r="AD26" i="40"/>
  <c r="AC22" i="40"/>
  <c r="AC28" i="40"/>
  <c r="AB15" i="40"/>
  <c r="AB24" i="40"/>
  <c r="AB32" i="40"/>
  <c r="AA18" i="40"/>
  <c r="AA27" i="40"/>
  <c r="AA13" i="40"/>
  <c r="AA15" i="40"/>
  <c r="AA16" i="40"/>
  <c r="AA17" i="40"/>
  <c r="AA20" i="40"/>
  <c r="AA21" i="40"/>
  <c r="AA22" i="40"/>
  <c r="AA24" i="40"/>
  <c r="AA26" i="40"/>
  <c r="AA28" i="40"/>
  <c r="AA29" i="40"/>
  <c r="AA30" i="40"/>
  <c r="AA31" i="40"/>
  <c r="AA33" i="40"/>
  <c r="AA34" i="40"/>
  <c r="Z19" i="40"/>
  <c r="Z25" i="40"/>
  <c r="Z30" i="40"/>
  <c r="Y16" i="40"/>
  <c r="Y23" i="40"/>
  <c r="Y28" i="40"/>
  <c r="X14" i="40"/>
  <c r="X21" i="40"/>
  <c r="X27" i="40"/>
  <c r="X33" i="40"/>
  <c r="W17" i="40"/>
  <c r="W25" i="40"/>
  <c r="W30" i="40"/>
  <c r="V15" i="40"/>
  <c r="V23" i="40"/>
  <c r="V28" i="40"/>
  <c r="U21" i="40"/>
  <c r="U26" i="40"/>
  <c r="U32" i="40"/>
  <c r="T17" i="40"/>
  <c r="T22" i="40"/>
  <c r="T27" i="40"/>
  <c r="T13" i="40"/>
  <c r="S28" i="40"/>
  <c r="S23" i="40"/>
  <c r="S16" i="40"/>
  <c r="ED21" i="40"/>
  <c r="EF23" i="40"/>
  <c r="EK21" i="40"/>
  <c r="AW31" i="40"/>
  <c r="BZ31" i="40"/>
  <c r="T31" i="40"/>
  <c r="V61" i="69"/>
  <c r="DY22" i="40"/>
  <c r="DR15" i="40"/>
  <c r="DO31" i="40"/>
  <c r="DK30" i="40"/>
  <c r="DH24" i="40"/>
  <c r="DF21" i="40"/>
  <c r="DD17" i="40"/>
  <c r="DB15" i="40"/>
  <c r="DA32" i="40"/>
  <c r="CY28" i="40"/>
  <c r="CV32" i="40"/>
  <c r="CT27" i="40"/>
  <c r="CR23" i="40"/>
  <c r="CP19" i="40"/>
  <c r="CO13" i="40"/>
  <c r="CM16" i="40"/>
  <c r="CL15" i="40"/>
  <c r="CK14" i="40"/>
  <c r="CK33" i="40"/>
  <c r="CH15" i="40"/>
  <c r="CH33" i="40"/>
  <c r="CG32" i="40"/>
  <c r="CF29" i="40"/>
  <c r="CE22" i="40"/>
  <c r="CD16" i="40"/>
  <c r="CD29" i="40"/>
  <c r="CC24" i="40"/>
  <c r="CB18" i="40"/>
  <c r="CB31" i="40"/>
  <c r="CA26" i="40"/>
  <c r="BZ20" i="40"/>
  <c r="BY14" i="40"/>
  <c r="BY28" i="40"/>
  <c r="BX23" i="40"/>
  <c r="BW15" i="40"/>
  <c r="BW30" i="40"/>
  <c r="BU27" i="40"/>
  <c r="BT21" i="40"/>
  <c r="BS15" i="40"/>
  <c r="BS29" i="40"/>
  <c r="BR22" i="40"/>
  <c r="BQ15" i="40"/>
  <c r="BQ30" i="40"/>
  <c r="BP20" i="40"/>
  <c r="BP28" i="40"/>
  <c r="BO16" i="40"/>
  <c r="BO27" i="40"/>
  <c r="BN15" i="40"/>
  <c r="BN23" i="40"/>
  <c r="BN13" i="40"/>
  <c r="BM22" i="40"/>
  <c r="BM31" i="40"/>
  <c r="BL21" i="40"/>
  <c r="BL29" i="40"/>
  <c r="BK17" i="40"/>
  <c r="BK28" i="40"/>
  <c r="BJ16" i="40"/>
  <c r="BJ24" i="40"/>
  <c r="BI14" i="40"/>
  <c r="BI23" i="40"/>
  <c r="BI33" i="40"/>
  <c r="BG24" i="40"/>
  <c r="BF14" i="40"/>
  <c r="BF23" i="40"/>
  <c r="BF31" i="40"/>
  <c r="BE17" i="40"/>
  <c r="BE24" i="40"/>
  <c r="BE32" i="40"/>
  <c r="BD17" i="40"/>
  <c r="BD24" i="40"/>
  <c r="BD32" i="40"/>
  <c r="BC18" i="40"/>
  <c r="BC24" i="40"/>
  <c r="BC33" i="40"/>
  <c r="BB19" i="40"/>
  <c r="BB26" i="40"/>
  <c r="BB13" i="40"/>
  <c r="BA19" i="40"/>
  <c r="BA26" i="40"/>
  <c r="AZ14" i="40"/>
  <c r="AZ20" i="40"/>
  <c r="AZ26" i="40"/>
  <c r="AZ13" i="40"/>
  <c r="AY20" i="40"/>
  <c r="AY27" i="40"/>
  <c r="AX15" i="40"/>
  <c r="AX22" i="40"/>
  <c r="AX28" i="40"/>
  <c r="AW16" i="40"/>
  <c r="AW22" i="40"/>
  <c r="AW29" i="40"/>
  <c r="AV17" i="40"/>
  <c r="AV24" i="40"/>
  <c r="AV31" i="40"/>
  <c r="AU17" i="40"/>
  <c r="AU23" i="40"/>
  <c r="AU30" i="40"/>
  <c r="AS19" i="40"/>
  <c r="AS27" i="40"/>
  <c r="AR16" i="40"/>
  <c r="AR24" i="40"/>
  <c r="AR30" i="40"/>
  <c r="AQ16" i="40"/>
  <c r="AQ24" i="40"/>
  <c r="AQ31" i="40"/>
  <c r="AP16" i="40"/>
  <c r="AP24" i="40"/>
  <c r="AP31" i="40"/>
  <c r="AO17" i="40"/>
  <c r="AO25" i="40"/>
  <c r="AO31" i="40"/>
  <c r="AN17" i="40"/>
  <c r="AN25" i="40"/>
  <c r="AN32" i="40"/>
  <c r="AM17" i="40"/>
  <c r="AM25" i="40"/>
  <c r="AM32" i="40"/>
  <c r="AL18" i="40"/>
  <c r="AL26" i="40"/>
  <c r="AL32" i="40"/>
  <c r="AK18" i="40"/>
  <c r="AK26" i="40"/>
  <c r="AK33" i="40"/>
  <c r="AJ18" i="40"/>
  <c r="AJ26" i="40"/>
  <c r="AJ33" i="40"/>
  <c r="AI19" i="40"/>
  <c r="AI27" i="40"/>
  <c r="AI33" i="40"/>
  <c r="AH19" i="40"/>
  <c r="AH27" i="40"/>
  <c r="AH13" i="40"/>
  <c r="AG19" i="40"/>
  <c r="AG27" i="40"/>
  <c r="AG13" i="40"/>
  <c r="AE23" i="40"/>
  <c r="AE32" i="40"/>
  <c r="AD21" i="40"/>
  <c r="AD27" i="40"/>
  <c r="AC15" i="40"/>
  <c r="AC23" i="40"/>
  <c r="AC30" i="40"/>
  <c r="AB18" i="40"/>
  <c r="AB26" i="40"/>
  <c r="AB33" i="40"/>
  <c r="Z15" i="40"/>
  <c r="Z21" i="40"/>
  <c r="Z26" i="40"/>
  <c r="Z33" i="40"/>
  <c r="Y17" i="40"/>
  <c r="Y24" i="40"/>
  <c r="Y30" i="40"/>
  <c r="X15" i="40"/>
  <c r="X23" i="40"/>
  <c r="X28" i="40"/>
  <c r="X13" i="40"/>
  <c r="W21" i="40"/>
  <c r="W26" i="40"/>
  <c r="W32" i="40"/>
  <c r="V17" i="40"/>
  <c r="V24" i="40"/>
  <c r="V29" i="40"/>
  <c r="U15" i="40"/>
  <c r="U22" i="40"/>
  <c r="U27" i="40"/>
  <c r="T23" i="40"/>
  <c r="T29" i="40"/>
  <c r="S33" i="40"/>
  <c r="S27" i="40"/>
  <c r="S21" i="40"/>
  <c r="S15" i="40"/>
  <c r="EK22" i="40"/>
  <c r="EB23" i="40"/>
  <c r="EC21" i="40"/>
  <c r="BA31" i="40"/>
  <c r="CA31" i="40"/>
  <c r="BU31" i="40"/>
  <c r="DW29" i="40"/>
  <c r="DQ16" i="40"/>
  <c r="DN26" i="40"/>
  <c r="DJ28" i="40"/>
  <c r="DH13" i="40"/>
  <c r="DF30" i="40"/>
  <c r="DD28" i="40"/>
  <c r="DB24" i="40"/>
  <c r="CZ21" i="40"/>
  <c r="CW19" i="40"/>
  <c r="CU19" i="40"/>
  <c r="CS14" i="40"/>
  <c r="CR33" i="40"/>
  <c r="CP29" i="40"/>
  <c r="CN20" i="40"/>
  <c r="CM22" i="40"/>
  <c r="CL21" i="40"/>
  <c r="CK20" i="40"/>
  <c r="CI17" i="40"/>
  <c r="CH20" i="40"/>
  <c r="CG18" i="40"/>
  <c r="CF15" i="40"/>
  <c r="CF33" i="40"/>
  <c r="CE26" i="40"/>
  <c r="CD19" i="40"/>
  <c r="CD33" i="40"/>
  <c r="CC28" i="40"/>
  <c r="CB20" i="40"/>
  <c r="CA15" i="40"/>
  <c r="CA30" i="40"/>
  <c r="BZ23" i="40"/>
  <c r="BY18" i="40"/>
  <c r="BY33" i="40"/>
  <c r="BX26" i="40"/>
  <c r="BW19" i="40"/>
  <c r="BU15" i="40"/>
  <c r="BU29" i="40"/>
  <c r="BT25" i="40"/>
  <c r="BS19" i="40"/>
  <c r="BS32" i="40"/>
  <c r="BR26" i="40"/>
  <c r="BQ19" i="40"/>
  <c r="BQ33" i="40"/>
  <c r="BP21" i="40"/>
  <c r="BP30" i="40"/>
  <c r="BO20" i="40"/>
  <c r="BO28" i="40"/>
  <c r="BN16" i="40"/>
  <c r="BN27" i="40"/>
  <c r="BM15" i="40"/>
  <c r="BM23" i="40"/>
  <c r="BM13" i="40"/>
  <c r="BL22" i="40"/>
  <c r="BL32" i="40"/>
  <c r="BK21" i="40"/>
  <c r="BK29" i="40"/>
  <c r="BJ18" i="40"/>
  <c r="BJ28" i="40"/>
  <c r="BI17" i="40"/>
  <c r="BI25" i="40"/>
  <c r="BG15" i="40"/>
  <c r="BG26" i="40"/>
  <c r="BF17" i="40"/>
  <c r="BF26" i="40"/>
  <c r="BF33" i="40"/>
  <c r="BE18" i="40"/>
  <c r="BE26" i="40"/>
  <c r="BE33" i="40"/>
  <c r="BD19" i="40"/>
  <c r="BD27" i="40"/>
  <c r="BD33" i="40"/>
  <c r="BC19" i="40"/>
  <c r="BC27" i="40"/>
  <c r="W18" i="40"/>
  <c r="CI14" i="40"/>
  <c r="EL25" i="40"/>
  <c r="EL21" i="40"/>
  <c r="DJ31" i="40"/>
  <c r="S24" i="40"/>
  <c r="T32" i="40"/>
  <c r="T21" i="40"/>
  <c r="U30" i="40"/>
  <c r="U17" i="40"/>
  <c r="V27" i="40"/>
  <c r="V14" i="40"/>
  <c r="W23" i="40"/>
  <c r="X32" i="40"/>
  <c r="X19" i="40"/>
  <c r="Y27" i="40"/>
  <c r="Y14" i="40"/>
  <c r="Z24" i="40"/>
  <c r="AB22" i="40"/>
  <c r="AC27" i="40"/>
  <c r="AD32" i="40"/>
  <c r="AD16" i="40"/>
  <c r="AE19" i="40"/>
  <c r="AG23" i="40"/>
  <c r="AH30" i="40"/>
  <c r="AH16" i="40"/>
  <c r="AI23" i="40"/>
  <c r="AJ29" i="40"/>
  <c r="AJ16" i="40"/>
  <c r="AK22" i="40"/>
  <c r="AL28" i="40"/>
  <c r="AL15" i="40"/>
  <c r="AM21" i="40"/>
  <c r="AN28" i="40"/>
  <c r="AN14" i="40"/>
  <c r="AO21" i="40"/>
  <c r="AP27" i="40"/>
  <c r="AP14" i="40"/>
  <c r="AQ20" i="40"/>
  <c r="AR26" i="40"/>
  <c r="AS32" i="40"/>
  <c r="AU13" i="40"/>
  <c r="AU19" i="40"/>
  <c r="AV28" i="40"/>
  <c r="AW13" i="40"/>
  <c r="AW18" i="40"/>
  <c r="AX26" i="40"/>
  <c r="AY32" i="40"/>
  <c r="AY16" i="40"/>
  <c r="AZ24" i="40"/>
  <c r="BA30" i="40"/>
  <c r="BA15" i="40"/>
  <c r="BB23" i="40"/>
  <c r="BC28" i="40"/>
  <c r="BD21" i="40"/>
  <c r="BF13" i="40"/>
  <c r="BJ22" i="40"/>
  <c r="BL24" i="40"/>
  <c r="BN28" i="40"/>
  <c r="BP33" i="40"/>
  <c r="BR30" i="40"/>
  <c r="BT14" i="40"/>
  <c r="BX15" i="40"/>
  <c r="CA19" i="40"/>
  <c r="CD23" i="40"/>
  <c r="CG22" i="40"/>
  <c r="CL26" i="40"/>
  <c r="CQ20" i="40"/>
  <c r="CZ31" i="40"/>
  <c r="DG21" i="40"/>
  <c r="DU18" i="40"/>
  <c r="DK14" i="40"/>
  <c r="CI8" i="40"/>
  <c r="BU13" i="40"/>
  <c r="AU5" i="40"/>
  <c r="EE24" i="40"/>
  <c r="DG13" i="40"/>
  <c r="DH31" i="40"/>
  <c r="S14" i="40"/>
  <c r="S25" i="40"/>
  <c r="T30" i="40"/>
  <c r="T19" i="40"/>
  <c r="U29" i="40"/>
  <c r="U16" i="40"/>
  <c r="V25" i="40"/>
  <c r="W13" i="40"/>
  <c r="W22" i="40"/>
  <c r="X29" i="40"/>
  <c r="X17" i="40"/>
  <c r="Y26" i="40"/>
  <c r="Z22" i="40"/>
  <c r="AB19" i="40"/>
  <c r="AC24" i="40"/>
  <c r="AD30" i="40"/>
  <c r="AD14" i="40"/>
  <c r="AE15" i="40"/>
  <c r="AG22" i="40"/>
  <c r="AH28" i="40"/>
  <c r="AH14" i="40"/>
  <c r="AI21" i="40"/>
  <c r="AJ28" i="40"/>
  <c r="AK13" i="40"/>
  <c r="AK21" i="40"/>
  <c r="AL27" i="40"/>
  <c r="AM33" i="40"/>
  <c r="AM20" i="40"/>
  <c r="AN26" i="40"/>
  <c r="AO33" i="40"/>
  <c r="AO19" i="40"/>
  <c r="AP26" i="40"/>
  <c r="AQ32" i="40"/>
  <c r="AQ19" i="40"/>
  <c r="AR25" i="40"/>
  <c r="AS28" i="40"/>
  <c r="AU33" i="40"/>
  <c r="AU18" i="40"/>
  <c r="AV25" i="40"/>
  <c r="AW33" i="40"/>
  <c r="AW17" i="40"/>
  <c r="AX23" i="40"/>
  <c r="AY30" i="40"/>
  <c r="AY15" i="40"/>
  <c r="AZ21" i="40"/>
  <c r="BA29" i="40"/>
  <c r="BA14" i="40"/>
  <c r="BB20" i="40"/>
  <c r="BC22" i="40"/>
  <c r="BE13" i="40"/>
  <c r="BF27" i="40"/>
  <c r="BI29" i="40"/>
  <c r="BK32" i="40"/>
  <c r="BL16" i="40"/>
  <c r="BN20" i="40"/>
  <c r="BP22" i="40"/>
  <c r="BR15" i="40"/>
  <c r="BU19" i="40"/>
  <c r="BY22" i="40"/>
  <c r="CB24" i="40"/>
  <c r="CE29" i="40"/>
  <c r="CH25" i="40"/>
  <c r="CM27" i="40"/>
  <c r="CS25" i="40"/>
  <c r="DB13" i="40"/>
  <c r="DI20" i="40"/>
  <c r="EH22" i="40"/>
  <c r="X20" i="40"/>
  <c r="BU14" i="40"/>
  <c r="BY31" i="40"/>
  <c r="EF22" i="40"/>
  <c r="EJ23" i="40"/>
  <c r="S29" i="40"/>
  <c r="T26" i="40"/>
  <c r="T15" i="40"/>
  <c r="U25" i="40"/>
  <c r="V33" i="40"/>
  <c r="V21" i="40"/>
  <c r="W29" i="40"/>
  <c r="W16" i="40"/>
  <c r="X25" i="40"/>
  <c r="Y22" i="40"/>
  <c r="Z29" i="40"/>
  <c r="Z17" i="40"/>
  <c r="AB30" i="40"/>
  <c r="AD25" i="40"/>
  <c r="AE27" i="40"/>
  <c r="AG30" i="40"/>
  <c r="AG17" i="40"/>
  <c r="AH23" i="40"/>
  <c r="AI29" i="40"/>
  <c r="AI16" i="40"/>
  <c r="AJ22" i="40"/>
  <c r="AK29" i="40"/>
  <c r="AK15" i="40"/>
  <c r="AL22" i="40"/>
  <c r="AM28" i="40"/>
  <c r="AM15" i="40"/>
  <c r="AN21" i="40"/>
  <c r="AO27" i="40"/>
  <c r="AO14" i="40"/>
  <c r="AP20" i="40"/>
  <c r="AQ27" i="40"/>
  <c r="AR13" i="40"/>
  <c r="AR20" i="40"/>
  <c r="AS23" i="40"/>
  <c r="AU27" i="40"/>
  <c r="AV20" i="40"/>
  <c r="AW26" i="40"/>
  <c r="AX32" i="40"/>
  <c r="AX18" i="40"/>
  <c r="AY24" i="40"/>
  <c r="AZ30" i="40"/>
  <c r="AZ16" i="40"/>
  <c r="BA23" i="40"/>
  <c r="BB30" i="40"/>
  <c r="BB15" i="40"/>
  <c r="BC14" i="40"/>
  <c r="BE28" i="40"/>
  <c r="BF19" i="40"/>
  <c r="BI18" i="40"/>
  <c r="BK23" i="40"/>
  <c r="BM27" i="40"/>
  <c r="BO31" i="40"/>
  <c r="BP14" i="40"/>
  <c r="BS21" i="40"/>
  <c r="BW23" i="40"/>
  <c r="BZ27" i="40"/>
  <c r="CC31" i="40"/>
  <c r="CE16" i="40"/>
  <c r="CI24" i="40"/>
  <c r="CN24" i="40"/>
  <c r="CU28" i="40"/>
  <c r="DC17" i="40"/>
  <c r="DM21" i="40"/>
  <c r="CW20" i="40"/>
  <c r="T20" i="40"/>
  <c r="CV31" i="40"/>
  <c r="AR5" i="40"/>
  <c r="AS6" i="40"/>
  <c r="CU13" i="40"/>
  <c r="BD31" i="40"/>
  <c r="BD13" i="40"/>
  <c r="BD14" i="40"/>
  <c r="BD18" i="40"/>
  <c r="BD22" i="40"/>
  <c r="BD26" i="40"/>
  <c r="BD30" i="40"/>
  <c r="BD34" i="40"/>
  <c r="CF31" i="40"/>
  <c r="CF18" i="40"/>
  <c r="CT14" i="40"/>
  <c r="BD5" i="40"/>
  <c r="CF13" i="40"/>
  <c r="CE14" i="40"/>
  <c r="AO13" i="40"/>
  <c r="BC20" i="40"/>
  <c r="BC13" i="40"/>
  <c r="BC17" i="40"/>
  <c r="BC21" i="40"/>
  <c r="BC25" i="40"/>
  <c r="BC29" i="40"/>
  <c r="BC31" i="40"/>
  <c r="BC34" i="40"/>
  <c r="CR31" i="40"/>
  <c r="DF14" i="40"/>
  <c r="CR20" i="40"/>
  <c r="CM31" i="40"/>
  <c r="DA14" i="40"/>
  <c r="CM20" i="40"/>
  <c r="S31" i="40"/>
  <c r="CW14" i="40"/>
  <c r="W14" i="40"/>
  <c r="S13" i="40"/>
  <c r="BG13" i="40"/>
  <c r="DA31" i="40"/>
  <c r="EF21" i="40"/>
  <c r="EL23" i="40"/>
  <c r="EL24" i="40"/>
  <c r="EB24" i="40"/>
  <c r="ED25" i="40"/>
  <c r="EG26" i="40"/>
  <c r="EJ28" i="40"/>
  <c r="EB28" i="40"/>
  <c r="EM15" i="40"/>
  <c r="EM25" i="40"/>
  <c r="DY15" i="40"/>
  <c r="DY23" i="40"/>
  <c r="DY13" i="40"/>
  <c r="DX21" i="40"/>
  <c r="DX29" i="40"/>
  <c r="DW16" i="40"/>
  <c r="DW24" i="40"/>
  <c r="DW32" i="40"/>
  <c r="DV19" i="40"/>
  <c r="DV26" i="40"/>
  <c r="DV31" i="40"/>
  <c r="DU16" i="40"/>
  <c r="DU21" i="40"/>
  <c r="DU26" i="40"/>
  <c r="DU32" i="40"/>
  <c r="DT16" i="40"/>
  <c r="DT21" i="40"/>
  <c r="DT27" i="40"/>
  <c r="DT32" i="40"/>
  <c r="DS16" i="40"/>
  <c r="DS22" i="40"/>
  <c r="DS27" i="40"/>
  <c r="DS32" i="40"/>
  <c r="DR17" i="40"/>
  <c r="DR22" i="40"/>
  <c r="DR27" i="40"/>
  <c r="DI13" i="40"/>
  <c r="EE21" i="40"/>
  <c r="EK23" i="40"/>
  <c r="EK24" i="40"/>
  <c r="EK25" i="40"/>
  <c r="EC25" i="40"/>
  <c r="EF26" i="40"/>
  <c r="EI28" i="40"/>
  <c r="EA21" i="40"/>
  <c r="EM16" i="40"/>
  <c r="EM26" i="40"/>
  <c r="DY26" i="40"/>
  <c r="DX14" i="40"/>
  <c r="DX22" i="40"/>
  <c r="DX30" i="40"/>
  <c r="DW17" i="40"/>
  <c r="DW25" i="40"/>
  <c r="DW33" i="40"/>
  <c r="DV20" i="40"/>
  <c r="DV27" i="40"/>
  <c r="DV32" i="40"/>
  <c r="DU17" i="40"/>
  <c r="DU22" i="40"/>
  <c r="DU28" i="40"/>
  <c r="DU33" i="40"/>
  <c r="DT17" i="40"/>
  <c r="DT23" i="40"/>
  <c r="DT28" i="40"/>
  <c r="DT33" i="40"/>
  <c r="DS18" i="40"/>
  <c r="DS23" i="40"/>
  <c r="DS28" i="40"/>
  <c r="DS13" i="40"/>
  <c r="DR18" i="40"/>
  <c r="DR23" i="40"/>
  <c r="DR29" i="40"/>
  <c r="DR13" i="40"/>
  <c r="DQ18" i="40"/>
  <c r="DQ24" i="40"/>
  <c r="DQ29" i="40"/>
  <c r="DQ13" i="40"/>
  <c r="DP19" i="40"/>
  <c r="DP24" i="40"/>
  <c r="DP29" i="40"/>
  <c r="DO14" i="40"/>
  <c r="DO19" i="40"/>
  <c r="DO24" i="40"/>
  <c r="DO30" i="40"/>
  <c r="DN14" i="40"/>
  <c r="EE23" i="40"/>
  <c r="EG25" i="40"/>
  <c r="EB26" i="40"/>
  <c r="EA25" i="40"/>
  <c r="EM30" i="40"/>
  <c r="DY30" i="40"/>
  <c r="DX26" i="40"/>
  <c r="DW21" i="40"/>
  <c r="DV16" i="40"/>
  <c r="DV30" i="40"/>
  <c r="DU20" i="40"/>
  <c r="DU30" i="40"/>
  <c r="DT20" i="40"/>
  <c r="DT31" i="40"/>
  <c r="DS20" i="40"/>
  <c r="DS31" i="40"/>
  <c r="DR21" i="40"/>
  <c r="DR31" i="40"/>
  <c r="DQ17" i="40"/>
  <c r="DQ25" i="40"/>
  <c r="DQ32" i="40"/>
  <c r="DP17" i="40"/>
  <c r="DP25" i="40"/>
  <c r="DP32" i="40"/>
  <c r="DO18" i="40"/>
  <c r="DO26" i="40"/>
  <c r="DO32" i="40"/>
  <c r="DN18" i="40"/>
  <c r="DN23" i="40"/>
  <c r="DN29" i="40"/>
  <c r="DN13" i="40"/>
  <c r="DM18" i="40"/>
  <c r="DM24" i="40"/>
  <c r="DM29" i="40"/>
  <c r="DM13" i="40"/>
  <c r="DK22" i="40"/>
  <c r="DK27" i="40"/>
  <c r="DJ15" i="40"/>
  <c r="DJ20" i="40"/>
  <c r="DJ25" i="40"/>
  <c r="DJ32" i="40"/>
  <c r="DI16" i="40"/>
  <c r="DI21" i="40"/>
  <c r="X18" i="40"/>
  <c r="AD18" i="40"/>
  <c r="EI22" i="40"/>
  <c r="EG24" i="40"/>
  <c r="EK26" i="40"/>
  <c r="EF28" i="40"/>
  <c r="EM21" i="40"/>
  <c r="DY19" i="40"/>
  <c r="DX17" i="40"/>
  <c r="DX33" i="40"/>
  <c r="DW28" i="40"/>
  <c r="DV23" i="40"/>
  <c r="DV13" i="40"/>
  <c r="DU24" i="40"/>
  <c r="DU13" i="40"/>
  <c r="DT24" i="40"/>
  <c r="DS14" i="40"/>
  <c r="DS24" i="40"/>
  <c r="DR14" i="40"/>
  <c r="DR25" i="40"/>
  <c r="DR33" i="40"/>
  <c r="DQ20" i="40"/>
  <c r="DQ26" i="40"/>
  <c r="DQ33" i="40"/>
  <c r="DP20" i="40"/>
  <c r="DP27" i="40"/>
  <c r="DP33" i="40"/>
  <c r="DO20" i="40"/>
  <c r="DO27" i="40"/>
  <c r="DO13" i="40"/>
  <c r="DN19" i="40"/>
  <c r="DN25" i="40"/>
  <c r="DN30" i="40"/>
  <c r="DM14" i="40"/>
  <c r="DM20" i="40"/>
  <c r="DM25" i="40"/>
  <c r="DM30" i="40"/>
  <c r="DK16" i="40"/>
  <c r="DK23" i="40"/>
  <c r="DK28" i="40"/>
  <c r="DJ16" i="40"/>
  <c r="DJ21" i="40"/>
  <c r="DJ27" i="40"/>
  <c r="DJ33" i="40"/>
  <c r="DI17" i="40"/>
  <c r="DI23" i="40"/>
  <c r="DI28" i="40"/>
  <c r="DH14" i="40"/>
  <c r="DH21" i="40"/>
  <c r="DH26" i="40"/>
  <c r="DH33" i="40"/>
  <c r="DG17" i="40"/>
  <c r="DG22" i="40"/>
  <c r="DG28" i="40"/>
  <c r="DG33" i="40"/>
  <c r="DF18" i="40"/>
  <c r="DF24" i="40"/>
  <c r="DF29" i="40"/>
  <c r="DF13" i="40"/>
  <c r="DE19" i="40"/>
  <c r="DE24" i="40"/>
  <c r="DE29" i="40"/>
  <c r="DD15" i="40"/>
  <c r="DD20" i="40"/>
  <c r="DD25" i="40"/>
  <c r="DD32" i="40"/>
  <c r="DC16" i="40"/>
  <c r="DC21" i="40"/>
  <c r="DC27" i="40"/>
  <c r="DC32" i="40"/>
  <c r="DB16" i="40"/>
  <c r="DB22" i="40"/>
  <c r="DB27" i="40"/>
  <c r="DB32" i="40"/>
  <c r="DA17" i="40"/>
  <c r="DA22" i="40"/>
  <c r="DA27" i="40"/>
  <c r="DA13" i="40"/>
  <c r="CZ18" i="40"/>
  <c r="CZ23" i="40"/>
  <c r="CZ13" i="40"/>
  <c r="CZ16" i="40"/>
  <c r="CZ20" i="40"/>
  <c r="CZ24" i="40"/>
  <c r="CZ28" i="40"/>
  <c r="CZ29" i="40"/>
  <c r="CZ32" i="40"/>
  <c r="CZ34" i="40"/>
  <c r="CY18" i="40"/>
  <c r="CY24" i="40"/>
  <c r="CY13" i="40"/>
  <c r="CY15" i="40"/>
  <c r="CY19" i="40"/>
  <c r="CY23" i="40"/>
  <c r="CY27" i="40"/>
  <c r="CY29" i="40"/>
  <c r="CY31" i="40"/>
  <c r="CY34" i="40"/>
  <c r="CW22" i="40"/>
  <c r="CW27" i="40"/>
  <c r="CV15" i="40"/>
  <c r="CV20" i="40"/>
  <c r="CV25" i="40"/>
  <c r="CU15" i="40"/>
  <c r="CU17" i="40"/>
  <c r="CU20" i="40"/>
  <c r="CU21" i="40"/>
  <c r="CU25" i="40"/>
  <c r="CU26" i="40"/>
  <c r="CU29" i="40"/>
  <c r="CU31" i="40"/>
  <c r="CU33" i="40"/>
  <c r="CU34" i="40"/>
  <c r="CT15" i="40"/>
  <c r="CT16" i="40"/>
  <c r="CT20" i="40"/>
  <c r="CT21" i="40"/>
  <c r="CT24" i="40"/>
  <c r="CT26" i="40"/>
  <c r="CT28" i="40"/>
  <c r="CT31" i="40"/>
  <c r="CT32" i="40"/>
  <c r="CT34" i="40"/>
  <c r="CS16" i="40"/>
  <c r="CS15" i="40"/>
  <c r="CS19" i="40"/>
  <c r="CS21" i="40"/>
  <c r="CS23" i="40"/>
  <c r="CS26" i="40"/>
  <c r="CS27" i="40"/>
  <c r="CS31" i="40"/>
  <c r="CS32" i="40"/>
  <c r="CS34" i="40"/>
  <c r="CR16" i="40"/>
  <c r="CR13" i="40"/>
  <c r="CR14" i="40"/>
  <c r="CR18" i="40"/>
  <c r="CR21" i="40"/>
  <c r="CR22" i="40"/>
  <c r="CR26" i="40"/>
  <c r="CR27" i="40"/>
  <c r="CR30" i="40"/>
  <c r="CR32" i="40"/>
  <c r="CR34" i="40"/>
  <c r="CQ16" i="40"/>
  <c r="CQ17" i="40"/>
  <c r="CQ21" i="40"/>
  <c r="CQ22" i="40"/>
  <c r="CQ25" i="40"/>
  <c r="CQ27" i="40"/>
  <c r="CQ29" i="40"/>
  <c r="CQ32" i="40"/>
  <c r="CQ33" i="40"/>
  <c r="CQ34" i="40"/>
  <c r="CP17" i="40"/>
  <c r="CP16" i="40"/>
  <c r="CP20" i="40"/>
  <c r="CP22" i="40"/>
  <c r="CP24" i="40"/>
  <c r="CP27" i="40"/>
  <c r="CP28" i="40"/>
  <c r="CP32" i="40"/>
  <c r="CP33" i="40"/>
  <c r="CP34" i="40"/>
  <c r="CO17" i="40"/>
  <c r="CO15" i="40"/>
  <c r="CO19" i="40"/>
  <c r="CO22" i="40"/>
  <c r="CO23" i="40"/>
  <c r="CO27" i="40"/>
  <c r="CO28" i="40"/>
  <c r="CO31" i="40"/>
  <c r="CO33" i="40"/>
  <c r="CO34" i="40"/>
  <c r="CN17" i="40"/>
  <c r="CN23" i="40"/>
  <c r="CN28" i="40"/>
  <c r="CN33" i="40"/>
  <c r="CM18" i="40"/>
  <c r="CM13" i="40"/>
  <c r="CM17" i="40"/>
  <c r="CM21" i="40"/>
  <c r="CM23" i="40"/>
  <c r="CM25" i="40"/>
  <c r="CM28" i="40"/>
  <c r="CM29" i="40"/>
  <c r="CM33" i="40"/>
  <c r="CM34" i="40"/>
  <c r="CL18" i="40"/>
  <c r="CL13" i="40"/>
  <c r="CL16" i="40"/>
  <c r="CL20" i="40"/>
  <c r="CL23" i="40"/>
  <c r="CL24" i="40"/>
  <c r="CL28" i="40"/>
  <c r="CL29" i="40"/>
  <c r="CL32" i="40"/>
  <c r="CL34" i="40"/>
  <c r="CK18" i="40"/>
  <c r="CK13" i="40"/>
  <c r="CK15" i="40"/>
  <c r="CK19" i="40"/>
  <c r="CK23" i="40"/>
  <c r="CK24" i="40"/>
  <c r="CK27" i="40"/>
  <c r="CK29" i="40"/>
  <c r="CK31" i="40"/>
  <c r="CK34" i="40"/>
  <c r="CI22" i="40"/>
  <c r="CI27" i="40"/>
  <c r="CI33" i="40"/>
  <c r="CH19" i="40"/>
  <c r="CH24" i="40"/>
  <c r="CH13" i="40"/>
  <c r="CH14" i="40"/>
  <c r="CH18" i="40"/>
  <c r="CH22" i="40"/>
  <c r="CH26" i="40"/>
  <c r="CH29" i="40"/>
  <c r="CH30" i="40"/>
  <c r="CH34" i="40"/>
  <c r="CG14" i="40"/>
  <c r="CG19" i="40"/>
  <c r="CG24" i="40"/>
  <c r="CG17" i="40"/>
  <c r="CG21" i="40"/>
  <c r="CG25" i="40"/>
  <c r="CG29" i="40"/>
  <c r="CG30" i="40"/>
  <c r="CG33" i="40"/>
  <c r="CG34" i="40"/>
  <c r="CF14" i="40"/>
  <c r="CF19" i="40"/>
  <c r="CF25" i="40"/>
  <c r="CF16" i="40"/>
  <c r="CF20" i="40"/>
  <c r="CF24" i="40"/>
  <c r="CF28" i="40"/>
  <c r="CF32" i="40"/>
  <c r="CF34" i="40"/>
  <c r="DI14" i="40"/>
  <c r="Z14" i="40"/>
  <c r="V18" i="40"/>
  <c r="AY13" i="40"/>
  <c r="AY14" i="40"/>
  <c r="AY17" i="40"/>
  <c r="AY21" i="40"/>
  <c r="AY25" i="40"/>
  <c r="AY29" i="40"/>
  <c r="AY31" i="40"/>
  <c r="AY34" i="40"/>
  <c r="CW31" i="40"/>
  <c r="DK7" i="40"/>
  <c r="BG14" i="40"/>
  <c r="DC5" i="40"/>
  <c r="DC18" i="40"/>
  <c r="BG9" i="40"/>
  <c r="BG18" i="40"/>
  <c r="CV14" i="40"/>
  <c r="DY14" i="40"/>
  <c r="AD20" i="40"/>
  <c r="CT5" i="40"/>
  <c r="DI18" i="40"/>
  <c r="DD14" i="40"/>
  <c r="D74" i="66"/>
  <c r="D75" i="66"/>
  <c r="AG19" i="51"/>
  <c r="AG14" i="51"/>
  <c r="EC39" i="25"/>
  <c r="E39" i="25"/>
  <c r="M64" i="63"/>
  <c r="P10" i="55"/>
  <c r="P26" i="55"/>
  <c r="P32" i="55"/>
  <c r="I30" i="80"/>
  <c r="P30" i="80"/>
  <c r="Q30" i="80"/>
  <c r="U22" i="69"/>
  <c r="AG14" i="69"/>
  <c r="AG10" i="62"/>
  <c r="U27" i="62"/>
  <c r="U33" i="62"/>
  <c r="C65" i="66"/>
  <c r="C68" i="66"/>
  <c r="C70" i="66"/>
  <c r="C71" i="66"/>
  <c r="AG25" i="51"/>
  <c r="AG26" i="51"/>
  <c r="S9" i="41"/>
  <c r="H74" i="55"/>
  <c r="G70" i="58"/>
  <c r="G71" i="58"/>
  <c r="C74" i="66"/>
  <c r="C75" i="66"/>
  <c r="O74" i="60"/>
  <c r="O75" i="60"/>
  <c r="DK20" i="40"/>
  <c r="I32" i="55"/>
  <c r="EC43" i="25"/>
  <c r="E43" i="25"/>
  <c r="BK43" i="25"/>
  <c r="S10" i="62"/>
  <c r="I33" i="62"/>
  <c r="I71" i="62"/>
  <c r="I65" i="62"/>
  <c r="I75" i="62"/>
  <c r="S61" i="62"/>
  <c r="L65" i="55"/>
  <c r="BU18" i="40"/>
  <c r="Q22" i="68"/>
  <c r="S22" i="68"/>
  <c r="G65" i="58"/>
  <c r="AG26" i="62"/>
  <c r="AB21" i="58"/>
  <c r="AB22" i="58"/>
  <c r="S61" i="60"/>
  <c r="AG51" i="60"/>
  <c r="Q23" i="61"/>
  <c r="Q21" i="61"/>
  <c r="Q27" i="61"/>
  <c r="O33" i="61"/>
  <c r="AF22" i="57"/>
  <c r="AF21" i="57"/>
  <c r="AF27" i="57"/>
  <c r="Z21" i="62"/>
  <c r="AG18" i="62"/>
  <c r="Y21" i="61"/>
  <c r="Y27" i="61"/>
  <c r="AG14" i="61"/>
  <c r="Y22" i="61"/>
  <c r="AG22" i="61"/>
  <c r="Y23" i="58"/>
  <c r="AG18" i="58"/>
  <c r="E33" i="25"/>
  <c r="E64" i="69"/>
  <c r="E74" i="69"/>
  <c r="H74" i="66"/>
  <c r="H65" i="66"/>
  <c r="S32" i="61"/>
  <c r="S26" i="61"/>
  <c r="S26" i="60"/>
  <c r="S32" i="60"/>
  <c r="P21" i="60"/>
  <c r="P27" i="60"/>
  <c r="R23" i="58"/>
  <c r="I64" i="59"/>
  <c r="AB21" i="59"/>
  <c r="AB22" i="59"/>
  <c r="D64" i="57"/>
  <c r="Z15" i="69"/>
  <c r="Z17" i="69"/>
  <c r="Z10" i="69"/>
  <c r="DB5" i="40"/>
  <c r="AJ31" i="40"/>
  <c r="AS7" i="40"/>
  <c r="AJ5" i="40"/>
  <c r="X26" i="14"/>
  <c r="X32" i="14"/>
  <c r="X9" i="55"/>
  <c r="W9" i="55"/>
  <c r="W26" i="14"/>
  <c r="W32" i="14"/>
  <c r="C70" i="55"/>
  <c r="C71" i="55"/>
  <c r="C74" i="55"/>
  <c r="C75" i="55"/>
  <c r="C65" i="55"/>
  <c r="R21" i="55"/>
  <c r="R22" i="55"/>
  <c r="AB22" i="66"/>
  <c r="AD22" i="66"/>
  <c r="P64" i="66"/>
  <c r="D70" i="62"/>
  <c r="D71" i="62"/>
  <c r="D74" i="62"/>
  <c r="D75" i="62"/>
  <c r="D65" i="62"/>
  <c r="AE21" i="62"/>
  <c r="AE27" i="62"/>
  <c r="AE22" i="62"/>
  <c r="AG14" i="62"/>
  <c r="E68" i="61"/>
  <c r="E70" i="61"/>
  <c r="E71" i="61"/>
  <c r="E65" i="61"/>
  <c r="D64" i="63"/>
  <c r="AG25" i="68"/>
  <c r="C68" i="74"/>
  <c r="C70" i="74"/>
  <c r="C10" i="74"/>
  <c r="C71" i="74"/>
  <c r="X23" i="55"/>
  <c r="X21" i="55"/>
  <c r="J21" i="69"/>
  <c r="S18" i="69"/>
  <c r="K65" i="57"/>
  <c r="K74" i="57"/>
  <c r="K75" i="57"/>
  <c r="K68" i="57"/>
  <c r="P21" i="74"/>
  <c r="S14" i="74"/>
  <c r="AG25" i="66"/>
  <c r="M27" i="66"/>
  <c r="J21" i="62"/>
  <c r="P27" i="62"/>
  <c r="P64" i="62"/>
  <c r="R27" i="62"/>
  <c r="P22" i="62"/>
  <c r="S22" i="62"/>
  <c r="I64" i="61"/>
  <c r="S48" i="61"/>
  <c r="M21" i="60"/>
  <c r="M27" i="60"/>
  <c r="S14" i="60"/>
  <c r="E68" i="58"/>
  <c r="E70" i="58"/>
  <c r="E71" i="58"/>
  <c r="AC21" i="59"/>
  <c r="AC27" i="59"/>
  <c r="AC23" i="59"/>
  <c r="S18" i="63"/>
  <c r="DY5" i="40"/>
  <c r="DY31" i="40"/>
  <c r="O29" i="78"/>
  <c r="X21" i="58"/>
  <c r="AG14" i="58"/>
  <c r="X22" i="58"/>
  <c r="AG18" i="66"/>
  <c r="X23" i="66"/>
  <c r="S61" i="69"/>
  <c r="S39" i="74"/>
  <c r="R29" i="69"/>
  <c r="R21" i="74"/>
  <c r="R22" i="74"/>
  <c r="AG66" i="57"/>
  <c r="DH5" i="40"/>
  <c r="DH18" i="40"/>
  <c r="AS8" i="40"/>
  <c r="DE31" i="40"/>
  <c r="DE5" i="40"/>
  <c r="AG25" i="55"/>
  <c r="E64" i="55"/>
  <c r="AF10" i="55"/>
  <c r="AD21" i="55"/>
  <c r="AD22" i="55"/>
  <c r="AG22" i="55"/>
  <c r="I21" i="55"/>
  <c r="S24" i="74"/>
  <c r="D29" i="74"/>
  <c r="G21" i="66"/>
  <c r="J64" i="66"/>
  <c r="D21" i="62"/>
  <c r="C64" i="62"/>
  <c r="J64" i="62"/>
  <c r="C21" i="61"/>
  <c r="AG26" i="61"/>
  <c r="H64" i="61"/>
  <c r="AD21" i="61"/>
  <c r="AD27" i="61"/>
  <c r="AG24" i="60"/>
  <c r="S10" i="60"/>
  <c r="G33" i="60"/>
  <c r="S39" i="60"/>
  <c r="L64" i="60"/>
  <c r="H64" i="60"/>
  <c r="S10" i="58"/>
  <c r="R21" i="58"/>
  <c r="R27" i="58"/>
  <c r="AB27" i="58"/>
  <c r="L21" i="59"/>
  <c r="E64" i="59"/>
  <c r="R21" i="59"/>
  <c r="R27" i="59"/>
  <c r="AF21" i="59"/>
  <c r="AF27" i="59"/>
  <c r="AF33" i="59"/>
  <c r="AF22" i="59"/>
  <c r="G21" i="63"/>
  <c r="S32" i="63"/>
  <c r="N21" i="63"/>
  <c r="N27" i="63"/>
  <c r="AE21" i="63"/>
  <c r="AE27" i="63"/>
  <c r="AE22" i="63"/>
  <c r="AC21" i="63"/>
  <c r="AC27" i="63"/>
  <c r="AB26" i="55"/>
  <c r="AB32" i="55"/>
  <c r="AB10" i="55"/>
  <c r="C21" i="69"/>
  <c r="C27" i="69"/>
  <c r="AG24" i="69"/>
  <c r="S25" i="69"/>
  <c r="AF17" i="69"/>
  <c r="AB10" i="69"/>
  <c r="AB15" i="69"/>
  <c r="S32" i="69"/>
  <c r="S26" i="69"/>
  <c r="G29" i="78"/>
  <c r="S17" i="49"/>
  <c r="AI17" i="49"/>
  <c r="Q9" i="55"/>
  <c r="Q10" i="55"/>
  <c r="Q27" i="55"/>
  <c r="M9" i="55"/>
  <c r="AA21" i="55"/>
  <c r="AG14" i="55"/>
  <c r="AG48" i="61"/>
  <c r="X27" i="58"/>
  <c r="V21" i="57"/>
  <c r="V27" i="57"/>
  <c r="V22" i="57"/>
  <c r="AG39" i="59"/>
  <c r="AG10" i="66"/>
  <c r="U23" i="55"/>
  <c r="AG18" i="55"/>
  <c r="O21" i="69"/>
  <c r="O29" i="69"/>
  <c r="I29" i="68"/>
  <c r="H64" i="57"/>
  <c r="H65" i="57"/>
  <c r="S48" i="57"/>
  <c r="Q21" i="68"/>
  <c r="AG51" i="57"/>
  <c r="CH5" i="40"/>
  <c r="DG31" i="40"/>
  <c r="DG5" i="40"/>
  <c r="BB5" i="40"/>
  <c r="V61" i="74"/>
  <c r="AC61" i="69"/>
  <c r="AD61" i="74"/>
  <c r="AF61" i="69"/>
  <c r="Z61" i="69"/>
  <c r="W61" i="69"/>
  <c r="X61" i="74"/>
  <c r="Y61" i="74"/>
  <c r="Y61" i="69"/>
  <c r="Z61" i="74"/>
  <c r="AA61" i="69"/>
  <c r="AB61" i="74"/>
  <c r="AD61" i="69"/>
  <c r="AE61" i="74"/>
  <c r="AB61" i="69"/>
  <c r="CD13" i="40"/>
  <c r="EJ21" i="40"/>
  <c r="EB21" i="40"/>
  <c r="EE22" i="40"/>
  <c r="EI23" i="40"/>
  <c r="ED23" i="40"/>
  <c r="EJ24" i="40"/>
  <c r="ED24" i="40"/>
  <c r="EJ25" i="40"/>
  <c r="EF25" i="40"/>
  <c r="EB25" i="40"/>
  <c r="EI26" i="40"/>
  <c r="EE26" i="40"/>
  <c r="EL28" i="40"/>
  <c r="EH28" i="40"/>
  <c r="ED28" i="40"/>
  <c r="EA22" i="40"/>
  <c r="EA26" i="40"/>
  <c r="EM17" i="40"/>
  <c r="EM23" i="40"/>
  <c r="EM27" i="40"/>
  <c r="EM32" i="40"/>
  <c r="DY16" i="40"/>
  <c r="DY20" i="40"/>
  <c r="DY24" i="40"/>
  <c r="DY28" i="40"/>
  <c r="DY32" i="40"/>
  <c r="DX15" i="40"/>
  <c r="DX19" i="40"/>
  <c r="DX23" i="40"/>
  <c r="DX27" i="40"/>
  <c r="DX31" i="40"/>
  <c r="DW14" i="40"/>
  <c r="DW18" i="40"/>
  <c r="DW22" i="40"/>
  <c r="DW26" i="40"/>
  <c r="DW30" i="40"/>
  <c r="DW13" i="40"/>
  <c r="DV17" i="40"/>
  <c r="DV21" i="40"/>
  <c r="DV25" i="40"/>
  <c r="DV29" i="40"/>
  <c r="DV33" i="40"/>
  <c r="DU15" i="40"/>
  <c r="DU19" i="40"/>
  <c r="DU23" i="40"/>
  <c r="DU27" i="40"/>
  <c r="DU31" i="40"/>
  <c r="DU34" i="40"/>
  <c r="DT14" i="40"/>
  <c r="DT18" i="40"/>
  <c r="DT22" i="40"/>
  <c r="DT26" i="40"/>
  <c r="DT30" i="40"/>
  <c r="DT13" i="40"/>
  <c r="DS17" i="40"/>
  <c r="DS21" i="40"/>
  <c r="DS25" i="40"/>
  <c r="DS29" i="40"/>
  <c r="DS33" i="40"/>
  <c r="DR16" i="40"/>
  <c r="DR20" i="40"/>
  <c r="DR24" i="40"/>
  <c r="DR28" i="40"/>
  <c r="DR32" i="40"/>
  <c r="DQ15" i="40"/>
  <c r="DQ19" i="40"/>
  <c r="DQ23" i="40"/>
  <c r="DQ27" i="40"/>
  <c r="DQ31" i="40"/>
  <c r="DP14" i="40"/>
  <c r="DP18" i="40"/>
  <c r="DP22" i="40"/>
  <c r="DP26" i="40"/>
  <c r="DP30" i="40"/>
  <c r="DP13" i="40"/>
  <c r="DP34" i="40"/>
  <c r="DO17" i="40"/>
  <c r="DO21" i="40"/>
  <c r="DO25" i="40"/>
  <c r="DO29" i="40"/>
  <c r="DO33" i="40"/>
  <c r="DO34" i="40"/>
  <c r="DN16" i="40"/>
  <c r="DN20" i="40"/>
  <c r="DN24" i="40"/>
  <c r="DN28" i="40"/>
  <c r="DN32" i="40"/>
  <c r="DM15" i="40"/>
  <c r="DM19" i="40"/>
  <c r="DM23" i="40"/>
  <c r="DM27" i="40"/>
  <c r="DM31" i="40"/>
  <c r="DK15" i="40"/>
  <c r="DK21" i="40"/>
  <c r="DK25" i="40"/>
  <c r="DK29" i="40"/>
  <c r="DJ14" i="40"/>
  <c r="DJ18" i="40"/>
  <c r="DJ22" i="40"/>
  <c r="DJ26" i="40"/>
  <c r="DJ30" i="40"/>
  <c r="DI22" i="40"/>
  <c r="DI26" i="40"/>
  <c r="DI30" i="40"/>
  <c r="DH15" i="40"/>
  <c r="DH19" i="40"/>
  <c r="DH23" i="40"/>
  <c r="DH27" i="40"/>
  <c r="DH32" i="40"/>
  <c r="DG15" i="40"/>
  <c r="DG19" i="40"/>
  <c r="DG23" i="40"/>
  <c r="DG27" i="40"/>
  <c r="DG34" i="40"/>
  <c r="DF15" i="40"/>
  <c r="DF19" i="40"/>
  <c r="DF23" i="40"/>
  <c r="DF27" i="40"/>
  <c r="DF31" i="40"/>
  <c r="DF34" i="40"/>
  <c r="DE14" i="40"/>
  <c r="DE18" i="40"/>
  <c r="DE22" i="40"/>
  <c r="DE26" i="40"/>
  <c r="DE30" i="40"/>
  <c r="DE34" i="40"/>
  <c r="DD22" i="40"/>
  <c r="DD26" i="40"/>
  <c r="DD30" i="40"/>
  <c r="DC14" i="40"/>
  <c r="DC22" i="40"/>
  <c r="DC26" i="40"/>
  <c r="DC13" i="40"/>
  <c r="DC30" i="40"/>
  <c r="DC34" i="40"/>
  <c r="DB17" i="40"/>
  <c r="DB21" i="40"/>
  <c r="DB25" i="40"/>
  <c r="DB29" i="40"/>
  <c r="DB33" i="40"/>
  <c r="DB34" i="40"/>
  <c r="DA16" i="40"/>
  <c r="DA20" i="40"/>
  <c r="DA24" i="40"/>
  <c r="DA28" i="40"/>
  <c r="DA33" i="40"/>
  <c r="CW15" i="40"/>
  <c r="CW21" i="40"/>
  <c r="CW25" i="40"/>
  <c r="CW29" i="40"/>
  <c r="CV18" i="40"/>
  <c r="CV22" i="40"/>
  <c r="CV26" i="40"/>
  <c r="CV30" i="40"/>
  <c r="CV13" i="40"/>
  <c r="CN14" i="40"/>
  <c r="CN18" i="40"/>
  <c r="CN22" i="40"/>
  <c r="CN26" i="40"/>
  <c r="CN30" i="40"/>
  <c r="CN13" i="40"/>
  <c r="CI15" i="40"/>
  <c r="CI21" i="40"/>
  <c r="CI25" i="40"/>
  <c r="CI29" i="40"/>
  <c r="CE15" i="40"/>
  <c r="CE19" i="40"/>
  <c r="CE23" i="40"/>
  <c r="CE27" i="40"/>
  <c r="CE31" i="40"/>
  <c r="CE34" i="40"/>
  <c r="CD14" i="40"/>
  <c r="CD18" i="40"/>
  <c r="CD22" i="40"/>
  <c r="CD26" i="40"/>
  <c r="CD30" i="40"/>
  <c r="CC14" i="40"/>
  <c r="CC18" i="40"/>
  <c r="CC22" i="40"/>
  <c r="CC26" i="40"/>
  <c r="CC13" i="40"/>
  <c r="CC30" i="40"/>
  <c r="CC34" i="40"/>
  <c r="CB17" i="40"/>
  <c r="CB21" i="40"/>
  <c r="CB13" i="40"/>
  <c r="CB25" i="40"/>
  <c r="CB29" i="40"/>
  <c r="CB33" i="40"/>
  <c r="CB34" i="40"/>
  <c r="CA17" i="40"/>
  <c r="CA21" i="40"/>
  <c r="CA25" i="40"/>
  <c r="CA29" i="40"/>
  <c r="CA13" i="40"/>
  <c r="BZ17" i="40"/>
  <c r="BZ21" i="40"/>
  <c r="BZ25" i="40"/>
  <c r="BZ29" i="40"/>
  <c r="BZ13" i="40"/>
  <c r="BZ34" i="40"/>
  <c r="BY17" i="40"/>
  <c r="BY21" i="40"/>
  <c r="BY25" i="40"/>
  <c r="BY13" i="40"/>
  <c r="BY29" i="40"/>
  <c r="BY34" i="40"/>
  <c r="BX17" i="40"/>
  <c r="BX21" i="40"/>
  <c r="BX25" i="40"/>
  <c r="BX29" i="40"/>
  <c r="BX33" i="40"/>
  <c r="BX34" i="40"/>
  <c r="BW16" i="40"/>
  <c r="BW20" i="40"/>
  <c r="BW24" i="40"/>
  <c r="BW28" i="40"/>
  <c r="BW33" i="40"/>
  <c r="BU17" i="40"/>
  <c r="BU22" i="40"/>
  <c r="BU26" i="40"/>
  <c r="BU30" i="40"/>
  <c r="BT15" i="40"/>
  <c r="BT19" i="40"/>
  <c r="BT23" i="40"/>
  <c r="BT27" i="40"/>
  <c r="BT31" i="40"/>
  <c r="BT34" i="40"/>
  <c r="BS14" i="40"/>
  <c r="BS18" i="40"/>
  <c r="BS22" i="40"/>
  <c r="BS26" i="40"/>
  <c r="BS30" i="40"/>
  <c r="BS13" i="40"/>
  <c r="BR17" i="40"/>
  <c r="BR21" i="40"/>
  <c r="BR25" i="40"/>
  <c r="BR29" i="40"/>
  <c r="BR33" i="40"/>
  <c r="BQ16" i="40"/>
  <c r="BQ20" i="40"/>
  <c r="BQ24" i="40"/>
  <c r="BQ28" i="40"/>
  <c r="BQ32" i="40"/>
  <c r="BP15" i="40"/>
  <c r="BP19" i="40"/>
  <c r="BP23" i="40"/>
  <c r="BP27" i="40"/>
  <c r="BP31" i="40"/>
  <c r="BP34" i="40"/>
  <c r="BO14" i="40"/>
  <c r="BO18" i="40"/>
  <c r="BO22" i="40"/>
  <c r="BO26" i="40"/>
  <c r="BO30" i="40"/>
  <c r="BO13" i="40"/>
  <c r="BO34" i="40"/>
  <c r="BN17" i="40"/>
  <c r="BN21" i="40"/>
  <c r="BN25" i="40"/>
  <c r="BN29" i="40"/>
  <c r="BN33" i="40"/>
  <c r="BM16" i="40"/>
  <c r="BM20" i="40"/>
  <c r="BM24" i="40"/>
  <c r="BM28" i="40"/>
  <c r="BM32" i="40"/>
  <c r="BM34" i="40"/>
  <c r="BL15" i="40"/>
  <c r="BL19" i="40"/>
  <c r="BL23" i="40"/>
  <c r="BL27" i="40"/>
  <c r="BL31" i="40"/>
  <c r="BL34" i="40"/>
  <c r="BK14" i="40"/>
  <c r="BK18" i="40"/>
  <c r="BK22" i="40"/>
  <c r="BK26" i="40"/>
  <c r="BK30" i="40"/>
  <c r="BK13" i="40"/>
  <c r="BJ17" i="40"/>
  <c r="BJ21" i="40"/>
  <c r="BJ25" i="40"/>
  <c r="BJ29" i="40"/>
  <c r="BJ33" i="40"/>
  <c r="BJ34" i="40"/>
  <c r="BI16" i="40"/>
  <c r="BI20" i="40"/>
  <c r="BI24" i="40"/>
  <c r="BI28" i="40"/>
  <c r="BI32" i="40"/>
  <c r="BI34" i="40"/>
  <c r="BG16" i="40"/>
  <c r="BG21" i="40"/>
  <c r="BG25" i="40"/>
  <c r="BG29" i="40"/>
  <c r="BG33" i="40"/>
  <c r="BF16" i="40"/>
  <c r="BF20" i="40"/>
  <c r="BF24" i="40"/>
  <c r="BF28" i="40"/>
  <c r="BF32" i="40"/>
  <c r="BF34" i="40"/>
  <c r="BE15" i="40"/>
  <c r="BE19" i="40"/>
  <c r="BE23" i="40"/>
  <c r="BE27" i="40"/>
  <c r="BE31" i="40"/>
  <c r="BE34" i="40"/>
  <c r="BB17" i="40"/>
  <c r="BB21" i="40"/>
  <c r="BB25" i="40"/>
  <c r="BB29" i="40"/>
  <c r="BB33" i="40"/>
  <c r="BB34" i="40"/>
  <c r="BA16" i="40"/>
  <c r="BA20" i="40"/>
  <c r="BA24" i="40"/>
  <c r="BA28" i="40"/>
  <c r="BA33" i="40"/>
  <c r="BA34" i="40"/>
  <c r="AZ19" i="40"/>
  <c r="AZ23" i="40"/>
  <c r="AZ27" i="40"/>
  <c r="AZ31" i="40"/>
  <c r="AX17" i="40"/>
  <c r="AX21" i="40"/>
  <c r="AX25" i="40"/>
  <c r="AX29" i="40"/>
  <c r="AX33" i="40"/>
  <c r="AX34" i="40"/>
  <c r="AW15" i="40"/>
  <c r="AW19" i="40"/>
  <c r="AW23" i="40"/>
  <c r="AW27" i="40"/>
  <c r="AW32" i="40"/>
  <c r="AW34" i="40"/>
  <c r="AV15" i="40"/>
  <c r="AV18" i="40"/>
  <c r="AV22" i="40"/>
  <c r="AV26" i="40"/>
  <c r="AV30" i="40"/>
  <c r="AV13" i="40"/>
  <c r="AV34" i="40"/>
  <c r="AU20" i="40"/>
  <c r="AU24" i="40"/>
  <c r="AU28" i="40"/>
  <c r="AU32" i="40"/>
  <c r="AU34" i="40"/>
  <c r="AS16" i="40"/>
  <c r="AS22" i="40"/>
  <c r="AS26" i="40"/>
  <c r="AS30" i="40"/>
  <c r="AR15" i="40"/>
  <c r="AR19" i="40"/>
  <c r="AR23" i="40"/>
  <c r="AR27" i="40"/>
  <c r="AR31" i="40"/>
  <c r="AR34" i="40"/>
  <c r="AQ14" i="40"/>
  <c r="AQ22" i="40"/>
  <c r="AQ26" i="40"/>
  <c r="AQ30" i="40"/>
  <c r="AQ13" i="40"/>
  <c r="AP17" i="40"/>
  <c r="AP21" i="40"/>
  <c r="AP25" i="40"/>
  <c r="AP29" i="40"/>
  <c r="AP33" i="40"/>
  <c r="AO16" i="40"/>
  <c r="AO20" i="40"/>
  <c r="AO24" i="40"/>
  <c r="AO28" i="40"/>
  <c r="AO32" i="40"/>
  <c r="AN15" i="40"/>
  <c r="AN19" i="40"/>
  <c r="AN23" i="40"/>
  <c r="AN27" i="40"/>
  <c r="AN31" i="40"/>
  <c r="AN34" i="40"/>
  <c r="AM14" i="40"/>
  <c r="AM18" i="40"/>
  <c r="AM22" i="40"/>
  <c r="AM13" i="40"/>
  <c r="AM26" i="40"/>
  <c r="AM30" i="40"/>
  <c r="AM34" i="40"/>
  <c r="AL17" i="40"/>
  <c r="AL21" i="40"/>
  <c r="AL25" i="40"/>
  <c r="AL29" i="40"/>
  <c r="AL33" i="40"/>
  <c r="AK16" i="40"/>
  <c r="AK20" i="40"/>
  <c r="AK24" i="40"/>
  <c r="AK28" i="40"/>
  <c r="AK32" i="40"/>
  <c r="AK34" i="40"/>
  <c r="AJ15" i="40"/>
  <c r="AJ19" i="40"/>
  <c r="AJ23" i="40"/>
  <c r="AJ27" i="40"/>
  <c r="AJ34" i="40"/>
  <c r="AI14" i="40"/>
  <c r="AI18" i="40"/>
  <c r="AI22" i="40"/>
  <c r="AI13" i="40"/>
  <c r="AI26" i="40"/>
  <c r="AI30" i="40"/>
  <c r="AI34" i="40"/>
  <c r="AH17" i="40"/>
  <c r="AH21" i="40"/>
  <c r="AH25" i="40"/>
  <c r="AH29" i="40"/>
  <c r="AH33" i="40"/>
  <c r="AG16" i="40"/>
  <c r="AG20" i="40"/>
  <c r="AG24" i="40"/>
  <c r="AG28" i="40"/>
  <c r="AG32" i="40"/>
  <c r="AG34" i="40"/>
  <c r="AE16" i="40"/>
  <c r="AE22" i="40"/>
  <c r="AE26" i="40"/>
  <c r="AE30" i="40"/>
  <c r="AD15" i="40"/>
  <c r="AD24" i="40"/>
  <c r="AD28" i="40"/>
  <c r="AD33" i="40"/>
  <c r="AC16" i="40"/>
  <c r="AC21" i="40"/>
  <c r="AC25" i="40"/>
  <c r="AC29" i="40"/>
  <c r="AC33" i="40"/>
  <c r="AB16" i="40"/>
  <c r="AB21" i="40"/>
  <c r="AB25" i="40"/>
  <c r="AB29" i="40"/>
  <c r="AB13" i="40"/>
  <c r="Z18" i="40"/>
  <c r="Z23" i="40"/>
  <c r="Z27" i="40"/>
  <c r="Z32" i="40"/>
  <c r="Y15" i="40"/>
  <c r="Y21" i="40"/>
  <c r="Y25" i="40"/>
  <c r="Y29" i="40"/>
  <c r="Y33" i="40"/>
  <c r="X16" i="40"/>
  <c r="X22" i="40"/>
  <c r="X26" i="40"/>
  <c r="X30" i="40"/>
  <c r="W19" i="40"/>
  <c r="W24" i="40"/>
  <c r="W28" i="40"/>
  <c r="W33" i="40"/>
  <c r="V16" i="40"/>
  <c r="V22" i="40"/>
  <c r="V26" i="40"/>
  <c r="V30" i="40"/>
  <c r="U14" i="40"/>
  <c r="U19" i="40"/>
  <c r="U24" i="40"/>
  <c r="U28" i="40"/>
  <c r="U33" i="40"/>
  <c r="T16" i="40"/>
  <c r="T24" i="40"/>
  <c r="T28" i="40"/>
  <c r="T33" i="40"/>
  <c r="S30" i="40"/>
  <c r="S26" i="40"/>
  <c r="S22" i="40"/>
  <c r="S17" i="40"/>
  <c r="DD31" i="40"/>
  <c r="EH21" i="40"/>
  <c r="EC22" i="40"/>
  <c r="EI24" i="40"/>
  <c r="EG21" i="40"/>
  <c r="EB22" i="40"/>
  <c r="BW31" i="40"/>
  <c r="W61" i="74"/>
  <c r="EI21" i="40"/>
  <c r="EL22" i="40"/>
  <c r="ED22" i="40"/>
  <c r="EH23" i="40"/>
  <c r="EC23" i="40"/>
  <c r="EH24" i="40"/>
  <c r="EC24" i="40"/>
  <c r="EI25" i="40"/>
  <c r="EE25" i="40"/>
  <c r="EL26" i="40"/>
  <c r="EH26" i="40"/>
  <c r="ED26" i="40"/>
  <c r="EK28" i="40"/>
  <c r="EG28" i="40"/>
  <c r="EC28" i="40"/>
  <c r="EA23" i="40"/>
  <c r="EA28" i="40"/>
  <c r="EM19" i="40"/>
  <c r="EM24" i="40"/>
  <c r="EM28" i="40"/>
  <c r="EM33" i="40"/>
  <c r="DY17" i="40"/>
  <c r="DY21" i="40"/>
  <c r="DY25" i="40"/>
  <c r="DY29" i="40"/>
  <c r="DY33" i="40"/>
  <c r="DY34" i="40"/>
  <c r="DX16" i="40"/>
  <c r="DX20" i="40"/>
  <c r="DX24" i="40"/>
  <c r="DX28" i="40"/>
  <c r="DX32" i="40"/>
  <c r="DW15" i="40"/>
  <c r="DW19" i="40"/>
  <c r="DW23" i="40"/>
  <c r="DW27" i="40"/>
  <c r="DW31" i="40"/>
  <c r="DV14" i="40"/>
  <c r="DV18" i="40"/>
  <c r="DV22" i="40"/>
  <c r="AG13" i="51"/>
  <c r="AG24" i="55"/>
  <c r="AD21" i="66"/>
  <c r="AD27" i="66"/>
  <c r="AD33" i="66"/>
  <c r="I21" i="66"/>
  <c r="S39" i="66"/>
  <c r="AG24" i="62"/>
  <c r="AC21" i="62"/>
  <c r="AC27" i="62"/>
  <c r="AC22" i="62"/>
  <c r="AG25" i="61"/>
  <c r="C74" i="61"/>
  <c r="C75" i="61"/>
  <c r="AE27" i="61"/>
  <c r="AE33" i="61"/>
  <c r="I21" i="60"/>
  <c r="S21" i="60"/>
  <c r="E64" i="60"/>
  <c r="S14" i="58"/>
  <c r="H21" i="58"/>
  <c r="O21" i="58"/>
  <c r="S48" i="58"/>
  <c r="C68" i="59"/>
  <c r="C70" i="59"/>
  <c r="C71" i="59"/>
  <c r="AB27" i="59"/>
  <c r="N27" i="57"/>
  <c r="O27" i="57"/>
  <c r="C33" i="74"/>
  <c r="C29" i="74"/>
  <c r="AC17" i="69"/>
  <c r="AC15" i="69"/>
  <c r="D10" i="69"/>
  <c r="D27" i="69"/>
  <c r="D29" i="69"/>
  <c r="K74" i="66"/>
  <c r="K75" i="66"/>
  <c r="K68" i="66"/>
  <c r="K70" i="66"/>
  <c r="K71" i="66"/>
  <c r="AE7" i="40"/>
  <c r="AE9" i="40"/>
  <c r="E29" i="78"/>
  <c r="N29" i="78"/>
  <c r="R9" i="55"/>
  <c r="N9" i="55"/>
  <c r="N32" i="55"/>
  <c r="F30" i="80"/>
  <c r="M30" i="80"/>
  <c r="O30" i="80"/>
  <c r="CW33" i="40"/>
  <c r="AA21" i="63"/>
  <c r="AA27" i="63"/>
  <c r="AA22" i="63"/>
  <c r="AG14" i="74"/>
  <c r="Z22" i="74"/>
  <c r="AG22" i="74"/>
  <c r="Y21" i="59"/>
  <c r="Y27" i="59"/>
  <c r="Y33" i="59"/>
  <c r="Y22" i="59"/>
  <c r="X17" i="69"/>
  <c r="X15" i="69"/>
  <c r="X21" i="62"/>
  <c r="X23" i="61"/>
  <c r="AG23" i="61"/>
  <c r="AG18" i="61"/>
  <c r="W17" i="69"/>
  <c r="AA17" i="69"/>
  <c r="AG6" i="69"/>
  <c r="W10" i="69"/>
  <c r="U21" i="63"/>
  <c r="AG14" i="63"/>
  <c r="U27" i="66"/>
  <c r="AG48" i="60"/>
  <c r="AG39" i="57"/>
  <c r="J6" i="69"/>
  <c r="J10" i="69"/>
  <c r="G21" i="69"/>
  <c r="I21" i="74"/>
  <c r="S39" i="57"/>
  <c r="Q21" i="74"/>
  <c r="Q22" i="74"/>
  <c r="S22" i="74"/>
  <c r="AE11" i="80"/>
  <c r="AE20" i="80"/>
  <c r="AG51" i="69"/>
  <c r="AQ18" i="40"/>
  <c r="CI6" i="40"/>
  <c r="CL5" i="40"/>
  <c r="BG6" i="40"/>
  <c r="AV5" i="40"/>
  <c r="AG13" i="53"/>
  <c r="S24" i="55"/>
  <c r="P22" i="55"/>
  <c r="S22" i="55"/>
  <c r="P21" i="55"/>
  <c r="E21" i="66"/>
  <c r="D65" i="74"/>
  <c r="S10" i="66"/>
  <c r="Q21" i="66"/>
  <c r="Q27" i="66"/>
  <c r="N21" i="66"/>
  <c r="N27" i="66"/>
  <c r="S24" i="62"/>
  <c r="H64" i="62"/>
  <c r="S25" i="61"/>
  <c r="G33" i="61"/>
  <c r="C64" i="58"/>
  <c r="O27" i="58"/>
  <c r="S39" i="58"/>
  <c r="G21" i="59"/>
  <c r="S22" i="59"/>
  <c r="S18" i="57"/>
  <c r="S14" i="57"/>
  <c r="S10" i="57"/>
  <c r="J65" i="57"/>
  <c r="S25" i="63"/>
  <c r="R21" i="63"/>
  <c r="R27" i="63"/>
  <c r="R33" i="63"/>
  <c r="R22" i="63"/>
  <c r="O21" i="63"/>
  <c r="O27" i="63"/>
  <c r="O33" i="63"/>
  <c r="AF21" i="63"/>
  <c r="AF27" i="63"/>
  <c r="AF33" i="63"/>
  <c r="AD21" i="63"/>
  <c r="AD27" i="63"/>
  <c r="AD22" i="63"/>
  <c r="AC10" i="69"/>
  <c r="S61" i="55"/>
  <c r="P29" i="78"/>
  <c r="S48" i="55"/>
  <c r="S31" i="49"/>
  <c r="AI31" i="49"/>
  <c r="S16" i="54"/>
  <c r="J30" i="80"/>
  <c r="L30" i="80"/>
  <c r="AG10" i="61"/>
  <c r="Z21" i="58"/>
  <c r="Z27" i="58"/>
  <c r="Z33" i="58"/>
  <c r="Z22" i="58"/>
  <c r="X21" i="63"/>
  <c r="X23" i="63"/>
  <c r="V21" i="63"/>
  <c r="V27" i="63"/>
  <c r="V22" i="63"/>
  <c r="AG22" i="63"/>
  <c r="O6" i="68"/>
  <c r="S39" i="68"/>
  <c r="G6" i="68"/>
  <c r="AG51" i="74"/>
  <c r="DD18" i="40"/>
  <c r="DD5" i="40"/>
  <c r="AG15" i="54"/>
  <c r="AA15" i="69"/>
  <c r="AG42" i="49"/>
  <c r="AG38" i="49"/>
  <c r="AE18" i="78"/>
  <c r="AA9" i="55"/>
  <c r="AA26" i="55"/>
  <c r="AA26" i="14"/>
  <c r="AA32" i="14"/>
  <c r="AG9" i="54"/>
  <c r="AG15" i="51"/>
  <c r="X11" i="53"/>
  <c r="CW9" i="40"/>
  <c r="CI9" i="40"/>
  <c r="CI18" i="40"/>
  <c r="CC5" i="40"/>
  <c r="AG18" i="51"/>
  <c r="K30" i="80"/>
  <c r="Y21" i="58"/>
  <c r="Y27" i="58"/>
  <c r="X21" i="61"/>
  <c r="X27" i="61"/>
  <c r="X21" i="66"/>
  <c r="X21" i="57"/>
  <c r="X27" i="57"/>
  <c r="U10" i="69"/>
  <c r="U15" i="69"/>
  <c r="L21" i="74"/>
  <c r="H21" i="74"/>
  <c r="G21" i="74"/>
  <c r="K21" i="74"/>
  <c r="O21" i="74"/>
  <c r="S21" i="74"/>
  <c r="L64" i="57"/>
  <c r="I64" i="57"/>
  <c r="Y26" i="14"/>
  <c r="Y32" i="14"/>
  <c r="Y9" i="55"/>
  <c r="AG21" i="49"/>
  <c r="AC11" i="53"/>
  <c r="G30" i="80"/>
  <c r="S20" i="40"/>
  <c r="AS33" i="40"/>
  <c r="AA21" i="57"/>
  <c r="AA27" i="57"/>
  <c r="AA33" i="57"/>
  <c r="Z21" i="66"/>
  <c r="Z27" i="66"/>
  <c r="Z33" i="66"/>
  <c r="V21" i="55"/>
  <c r="U21" i="57"/>
  <c r="K27" i="74"/>
  <c r="K64" i="74"/>
  <c r="K33" i="74"/>
  <c r="O21" i="68"/>
  <c r="K6" i="68"/>
  <c r="G21" i="68"/>
  <c r="S21" i="68"/>
  <c r="M27" i="57"/>
  <c r="S27" i="57"/>
  <c r="AE9" i="80"/>
  <c r="AE12" i="80"/>
  <c r="AC26" i="14"/>
  <c r="AC32" i="14"/>
  <c r="AG24" i="51"/>
  <c r="Z9" i="41"/>
  <c r="DW5" i="25"/>
  <c r="AE10" i="80"/>
  <c r="AE5" i="79"/>
  <c r="AE14" i="79"/>
  <c r="AF39" i="61"/>
  <c r="EC9" i="25"/>
  <c r="E9" i="25"/>
  <c r="Q12" i="25"/>
  <c r="R12" i="25"/>
  <c r="Q28" i="25"/>
  <c r="R28" i="25"/>
  <c r="Q8" i="25"/>
  <c r="R8" i="25"/>
  <c r="V39" i="74"/>
  <c r="V39" i="62"/>
  <c r="W39" i="74"/>
  <c r="W39" i="62"/>
  <c r="W39" i="69"/>
  <c r="X39" i="62"/>
  <c r="X39" i="69"/>
  <c r="Y39" i="74"/>
  <c r="Y39" i="69"/>
  <c r="Z39" i="74"/>
  <c r="Z39" i="62"/>
  <c r="AA39" i="74"/>
  <c r="AA39" i="62"/>
  <c r="AA39" i="69"/>
  <c r="AB39" i="62"/>
  <c r="AB39" i="69"/>
  <c r="AC39" i="74"/>
  <c r="AC39" i="69"/>
  <c r="AD39" i="74"/>
  <c r="W39" i="61"/>
  <c r="Y39" i="61"/>
  <c r="AD39" i="61"/>
  <c r="AE39" i="61"/>
  <c r="AC39" i="61"/>
  <c r="V39" i="61"/>
  <c r="AE39" i="74"/>
  <c r="AB39" i="61"/>
  <c r="AD39" i="69"/>
  <c r="AE39" i="62"/>
  <c r="X39" i="61"/>
  <c r="AD39" i="62"/>
  <c r="CQ5" i="25"/>
  <c r="DA8" i="25"/>
  <c r="C8" i="25"/>
  <c r="EC8" i="25"/>
  <c r="E8" i="25"/>
  <c r="DA9" i="25"/>
  <c r="C9" i="25"/>
  <c r="Q10" i="25"/>
  <c r="R10" i="25"/>
  <c r="BK5" i="25"/>
  <c r="AV43" i="25"/>
  <c r="CL43" i="25"/>
  <c r="DA5" i="25"/>
  <c r="AI7" i="25"/>
  <c r="Q9" i="25"/>
  <c r="R9" i="25"/>
  <c r="Q13" i="25"/>
  <c r="R13" i="25"/>
  <c r="AF39" i="62"/>
  <c r="EC11" i="25"/>
  <c r="E11" i="25"/>
  <c r="Q26" i="25"/>
  <c r="R26" i="25"/>
  <c r="CL39" i="25"/>
  <c r="BO43" i="25"/>
  <c r="BW43" i="25"/>
  <c r="CK43" i="25"/>
  <c r="EA5" i="25"/>
  <c r="AI16" i="25"/>
  <c r="Q17" i="25"/>
  <c r="R17" i="25"/>
  <c r="Q29" i="25"/>
  <c r="R29" i="25"/>
  <c r="DV5" i="25"/>
  <c r="EC28" i="25"/>
  <c r="E28" i="25"/>
  <c r="EC29" i="25"/>
  <c r="E29" i="25"/>
  <c r="U5" i="25"/>
  <c r="G10" i="69"/>
  <c r="AG54" i="74"/>
  <c r="X61" i="69"/>
  <c r="AA61" i="74"/>
  <c r="BH45" i="25"/>
  <c r="AC61" i="74"/>
  <c r="D32" i="25"/>
  <c r="AG60" i="74"/>
  <c r="C34" i="25"/>
  <c r="DY5" i="25"/>
  <c r="AG63" i="69"/>
  <c r="AG54" i="69"/>
  <c r="C37" i="25"/>
  <c r="AZ34" i="40"/>
  <c r="DK31" i="40"/>
  <c r="AP34" i="40"/>
  <c r="S64" i="41"/>
  <c r="S60" i="41"/>
  <c r="S61" i="41"/>
  <c r="S62" i="41"/>
  <c r="S63" i="41"/>
  <c r="S68" i="41"/>
  <c r="AG58" i="41"/>
  <c r="AG53" i="41"/>
  <c r="AG54" i="41"/>
  <c r="AG56" i="41"/>
  <c r="AG57" i="41"/>
  <c r="AG70" i="41"/>
  <c r="AG64" i="41"/>
  <c r="S54" i="41"/>
  <c r="S57" i="41"/>
  <c r="S56" i="41"/>
  <c r="Q65" i="41"/>
  <c r="G65" i="41"/>
  <c r="AG60" i="41"/>
  <c r="S58" i="41"/>
  <c r="AG61" i="41"/>
  <c r="AG62" i="41"/>
  <c r="N65" i="41"/>
  <c r="S53" i="41"/>
  <c r="AQ34" i="40"/>
  <c r="DQ34" i="40"/>
  <c r="AO34" i="40"/>
  <c r="AD61" i="55"/>
  <c r="Z39" i="61"/>
  <c r="AE39" i="69"/>
  <c r="AA39" i="61"/>
  <c r="AC39" i="62"/>
  <c r="AB39" i="74"/>
  <c r="Z39" i="69"/>
  <c r="Y39" i="62"/>
  <c r="X39" i="74"/>
  <c r="V39" i="69"/>
  <c r="BN34" i="40"/>
  <c r="AE21" i="79"/>
  <c r="AE30" i="79"/>
  <c r="Y30" i="80"/>
  <c r="AA39" i="68"/>
  <c r="AD33" i="61"/>
  <c r="AU39" i="25"/>
  <c r="AG39" i="25"/>
  <c r="AB43" i="25"/>
  <c r="AI15" i="25"/>
  <c r="AA42" i="25"/>
  <c r="AG42" i="25"/>
  <c r="AG47" i="25"/>
  <c r="AB42" i="25"/>
  <c r="AB47" i="25"/>
  <c r="AI10" i="25"/>
  <c r="AI28" i="25"/>
  <c r="AC33" i="62"/>
  <c r="DN34" i="40"/>
  <c r="X33" i="58"/>
  <c r="R64" i="59"/>
  <c r="R33" i="59"/>
  <c r="J65" i="62"/>
  <c r="J68" i="62"/>
  <c r="J70" i="62"/>
  <c r="J71" i="62"/>
  <c r="J74" i="62"/>
  <c r="J75" i="62"/>
  <c r="AC33" i="59"/>
  <c r="P33" i="61"/>
  <c r="P64" i="61"/>
  <c r="P74" i="61"/>
  <c r="P75" i="61"/>
  <c r="C75" i="74"/>
  <c r="C65" i="74"/>
  <c r="AE33" i="62"/>
  <c r="D65" i="57"/>
  <c r="D68" i="57"/>
  <c r="D70" i="57"/>
  <c r="D71" i="57"/>
  <c r="D74" i="57"/>
  <c r="D75" i="57"/>
  <c r="I33" i="55"/>
  <c r="I65" i="55"/>
  <c r="I75" i="55"/>
  <c r="M65" i="63"/>
  <c r="M74" i="63"/>
  <c r="M75" i="63"/>
  <c r="M68" i="63"/>
  <c r="M70" i="63"/>
  <c r="M71" i="63"/>
  <c r="AG46" i="55"/>
  <c r="AO39" i="25"/>
  <c r="AA39" i="25"/>
  <c r="W39" i="25"/>
  <c r="Y39" i="25"/>
  <c r="AC39" i="25"/>
  <c r="AD39" i="25"/>
  <c r="AE39" i="25"/>
  <c r="AI39" i="25"/>
  <c r="X61" i="55"/>
  <c r="X43" i="25"/>
  <c r="AI29" i="25"/>
  <c r="AI26" i="25"/>
  <c r="W42" i="25"/>
  <c r="AD42" i="25"/>
  <c r="U13" i="78"/>
  <c r="V13" i="78"/>
  <c r="BX43" i="25"/>
  <c r="AD70" i="41"/>
  <c r="X70" i="41"/>
  <c r="AI8" i="25"/>
  <c r="Y31" i="40"/>
  <c r="AD5" i="40"/>
  <c r="X14" i="79"/>
  <c r="AB30" i="79"/>
  <c r="V5" i="40"/>
  <c r="AD30" i="79"/>
  <c r="EH5" i="40"/>
  <c r="AE5" i="80"/>
  <c r="AE8" i="80"/>
  <c r="AE13" i="80"/>
  <c r="AE14" i="80"/>
  <c r="M64" i="57"/>
  <c r="M65" i="57"/>
  <c r="M33" i="57"/>
  <c r="S33" i="57"/>
  <c r="Z26" i="14"/>
  <c r="Z32" i="14"/>
  <c r="Z9" i="55"/>
  <c r="L68" i="57"/>
  <c r="L74" i="57"/>
  <c r="L75" i="57"/>
  <c r="L65" i="57"/>
  <c r="AA10" i="55"/>
  <c r="AA27" i="55"/>
  <c r="AA32" i="55"/>
  <c r="EF5" i="40"/>
  <c r="G10" i="68"/>
  <c r="G29" i="68"/>
  <c r="H74" i="62"/>
  <c r="H75" i="62"/>
  <c r="H68" i="62"/>
  <c r="H70" i="62"/>
  <c r="H71" i="62"/>
  <c r="H65" i="62"/>
  <c r="EC5" i="40"/>
  <c r="AB33" i="59"/>
  <c r="R33" i="62"/>
  <c r="R64" i="62"/>
  <c r="R65" i="62"/>
  <c r="BQ34" i="40"/>
  <c r="DR34" i="40"/>
  <c r="AG56" i="55"/>
  <c r="AG56" i="61"/>
  <c r="AG37" i="68"/>
  <c r="U39" i="68"/>
  <c r="M10" i="55"/>
  <c r="M27" i="55"/>
  <c r="M64" i="55"/>
  <c r="M68" i="55"/>
  <c r="M70" i="55"/>
  <c r="M71" i="55"/>
  <c r="M32" i="55"/>
  <c r="E68" i="59"/>
  <c r="E70" i="59"/>
  <c r="E71" i="59"/>
  <c r="E65" i="59"/>
  <c r="E74" i="59"/>
  <c r="E75" i="59"/>
  <c r="H68" i="60"/>
  <c r="H70" i="60"/>
  <c r="H74" i="60"/>
  <c r="H65" i="60"/>
  <c r="H68" i="61"/>
  <c r="H74" i="61"/>
  <c r="H75" i="61"/>
  <c r="H65" i="61"/>
  <c r="C74" i="62"/>
  <c r="C75" i="62"/>
  <c r="C68" i="62"/>
  <c r="C70" i="62"/>
  <c r="C71" i="62"/>
  <c r="C65" i="62"/>
  <c r="D74" i="63"/>
  <c r="D75" i="63"/>
  <c r="D65" i="63"/>
  <c r="D68" i="63"/>
  <c r="D70" i="63"/>
  <c r="D71" i="63"/>
  <c r="P74" i="66"/>
  <c r="P75" i="66"/>
  <c r="W26" i="55"/>
  <c r="W32" i="55"/>
  <c r="W10" i="55"/>
  <c r="W27" i="55"/>
  <c r="AS31" i="40"/>
  <c r="H70" i="66"/>
  <c r="EB5" i="25"/>
  <c r="H70" i="55"/>
  <c r="P27" i="55"/>
  <c r="P64" i="55"/>
  <c r="P74" i="55"/>
  <c r="P75" i="55"/>
  <c r="AG41" i="55"/>
  <c r="AM39" i="25"/>
  <c r="W43" i="25"/>
  <c r="V9" i="55"/>
  <c r="V26" i="14"/>
  <c r="V32" i="14"/>
  <c r="R64" i="63"/>
  <c r="R65" i="63"/>
  <c r="AG42" i="55"/>
  <c r="Z43" i="25"/>
  <c r="AI17" i="25"/>
  <c r="AQ39" i="25"/>
  <c r="CG39" i="25"/>
  <c r="CG43" i="25"/>
  <c r="AQ43" i="25"/>
  <c r="AC43" i="25"/>
  <c r="AS43" i="25"/>
  <c r="BU43" i="25"/>
  <c r="CI43" i="25"/>
  <c r="AE43" i="25"/>
  <c r="Y42" i="25"/>
  <c r="Y47" i="25"/>
  <c r="X42" i="25"/>
  <c r="X47" i="25"/>
  <c r="AF42" i="25"/>
  <c r="AI11" i="25"/>
  <c r="DZ5" i="25"/>
  <c r="AI9" i="25"/>
  <c r="AE42" i="25"/>
  <c r="W13" i="78"/>
  <c r="Z14" i="79"/>
  <c r="W9" i="41"/>
  <c r="U30" i="79"/>
  <c r="K74" i="74"/>
  <c r="K75" i="74"/>
  <c r="AE26" i="14"/>
  <c r="AE32" i="14"/>
  <c r="AE9" i="55"/>
  <c r="AD9" i="55"/>
  <c r="U9" i="55"/>
  <c r="AG9" i="55"/>
  <c r="X27" i="66"/>
  <c r="AG24" i="54"/>
  <c r="O33" i="58"/>
  <c r="O64" i="58"/>
  <c r="J29" i="69"/>
  <c r="U27" i="63"/>
  <c r="E68" i="60"/>
  <c r="E70" i="60"/>
  <c r="E71" i="60"/>
  <c r="E65" i="60"/>
  <c r="E74" i="60"/>
  <c r="E75" i="60"/>
  <c r="BW34" i="40"/>
  <c r="CA34" i="40"/>
  <c r="DJ34" i="40"/>
  <c r="Q26" i="55"/>
  <c r="Q32" i="55"/>
  <c r="C33" i="69"/>
  <c r="C64" i="69"/>
  <c r="C68" i="69"/>
  <c r="L68" i="60"/>
  <c r="L70" i="60"/>
  <c r="L71" i="60"/>
  <c r="L65" i="60"/>
  <c r="L74" i="60"/>
  <c r="L75" i="60"/>
  <c r="E68" i="55"/>
  <c r="E70" i="55"/>
  <c r="E71" i="55"/>
  <c r="E65" i="55"/>
  <c r="E74" i="55"/>
  <c r="E75" i="55"/>
  <c r="CI13" i="40"/>
  <c r="AS13" i="40"/>
  <c r="P33" i="62"/>
  <c r="M33" i="66"/>
  <c r="M64" i="66"/>
  <c r="X10" i="55"/>
  <c r="X27" i="55"/>
  <c r="X26" i="55"/>
  <c r="X32" i="55"/>
  <c r="P64" i="60"/>
  <c r="P33" i="60"/>
  <c r="H75" i="66"/>
  <c r="Y33" i="61"/>
  <c r="DR5" i="25"/>
  <c r="V14" i="79"/>
  <c r="Y30" i="79"/>
  <c r="AD33" i="63"/>
  <c r="U33" i="66"/>
  <c r="A7" i="40"/>
  <c r="AD43" i="25"/>
  <c r="AS39" i="25"/>
  <c r="BU39" i="25"/>
  <c r="AT43" i="25"/>
  <c r="AF43" i="25"/>
  <c r="AO43" i="25"/>
  <c r="AA43" i="25"/>
  <c r="AQ42" i="25"/>
  <c r="AQ47" i="25"/>
  <c r="AC42" i="25"/>
  <c r="Z42" i="25"/>
  <c r="Z47" i="25"/>
  <c r="AH42" i="25"/>
  <c r="AH47" i="25"/>
  <c r="C5" i="25"/>
  <c r="AF16" i="69"/>
  <c r="Y13" i="78"/>
  <c r="AC14" i="79"/>
  <c r="AC31" i="40"/>
  <c r="AC34" i="40"/>
  <c r="AC5" i="40"/>
  <c r="W30" i="79"/>
  <c r="AD26" i="14"/>
  <c r="AD32" i="14"/>
  <c r="AD26" i="55"/>
  <c r="EJ5" i="40"/>
  <c r="K10" i="68"/>
  <c r="K27" i="68"/>
  <c r="K29" i="68"/>
  <c r="Y26" i="55"/>
  <c r="Y32" i="55"/>
  <c r="Y10" i="55"/>
  <c r="Y27" i="55"/>
  <c r="EB5" i="40"/>
  <c r="V33" i="63"/>
  <c r="C65" i="58"/>
  <c r="C68" i="58"/>
  <c r="C70" i="58"/>
  <c r="C71" i="58"/>
  <c r="C74" i="58"/>
  <c r="C75" i="58"/>
  <c r="CW18" i="40"/>
  <c r="CW34" i="40"/>
  <c r="CW5" i="40"/>
  <c r="X27" i="62"/>
  <c r="AA33" i="63"/>
  <c r="DV34" i="40"/>
  <c r="BS34" i="40"/>
  <c r="DM34" i="40"/>
  <c r="DT34" i="40"/>
  <c r="AC61" i="68"/>
  <c r="EI5" i="40"/>
  <c r="H68" i="57"/>
  <c r="H74" i="57"/>
  <c r="H75" i="57"/>
  <c r="AE33" i="63"/>
  <c r="AB33" i="58"/>
  <c r="J68" i="66"/>
  <c r="J70" i="66"/>
  <c r="J71" i="66"/>
  <c r="J74" i="66"/>
  <c r="J75" i="66"/>
  <c r="J65" i="66"/>
  <c r="S27" i="60"/>
  <c r="S33" i="60"/>
  <c r="I65" i="61"/>
  <c r="I68" i="61"/>
  <c r="I70" i="61"/>
  <c r="I71" i="61"/>
  <c r="I74" i="61"/>
  <c r="I75" i="61"/>
  <c r="E68" i="69"/>
  <c r="E70" i="69"/>
  <c r="E71" i="69"/>
  <c r="E75" i="69"/>
  <c r="E65" i="69"/>
  <c r="AF33" i="57"/>
  <c r="AG54" i="55"/>
  <c r="AC61" i="63"/>
  <c r="AB70" i="41"/>
  <c r="Y70" i="41"/>
  <c r="AC70" i="41"/>
  <c r="AG59" i="57"/>
  <c r="U30" i="80"/>
  <c r="V70" i="41"/>
  <c r="S70" i="41"/>
  <c r="Z70" i="41"/>
  <c r="W70" i="41"/>
  <c r="K65" i="41"/>
  <c r="AE70" i="41"/>
  <c r="AF70" i="41"/>
  <c r="Q71" i="41"/>
  <c r="N71" i="41"/>
  <c r="AA70" i="41"/>
  <c r="P71" i="41"/>
  <c r="G71" i="41"/>
  <c r="W48" i="55"/>
  <c r="U10" i="55"/>
  <c r="U26" i="55"/>
  <c r="AA68" i="41"/>
  <c r="AB30" i="80"/>
  <c r="T13" i="78"/>
  <c r="M68" i="66"/>
  <c r="P68" i="62"/>
  <c r="P70" i="62"/>
  <c r="P71" i="62"/>
  <c r="P65" i="62"/>
  <c r="P74" i="62"/>
  <c r="P75" i="62"/>
  <c r="O65" i="58"/>
  <c r="O74" i="58"/>
  <c r="O68" i="58"/>
  <c r="O70" i="58"/>
  <c r="O71" i="58"/>
  <c r="Z30" i="80"/>
  <c r="AD13" i="78"/>
  <c r="AM42" i="25"/>
  <c r="H71" i="66"/>
  <c r="H75" i="60"/>
  <c r="M68" i="57"/>
  <c r="M74" i="57"/>
  <c r="M75" i="57"/>
  <c r="AA13" i="78"/>
  <c r="AR42" i="25"/>
  <c r="AW15" i="25"/>
  <c r="CK39" i="25"/>
  <c r="AA39" i="60"/>
  <c r="U33" i="63"/>
  <c r="J27" i="69"/>
  <c r="X30" i="80"/>
  <c r="R68" i="62"/>
  <c r="R70" i="62"/>
  <c r="R71" i="62"/>
  <c r="V31" i="40"/>
  <c r="U39" i="60"/>
  <c r="AD32" i="55"/>
  <c r="AD10" i="55"/>
  <c r="AD27" i="55"/>
  <c r="Y29" i="78"/>
  <c r="CJ43" i="25"/>
  <c r="AF39" i="60"/>
  <c r="Z30" i="79"/>
  <c r="X65" i="41"/>
  <c r="AB13" i="78"/>
  <c r="BO42" i="25"/>
  <c r="Z39" i="60"/>
  <c r="AK43" i="25"/>
  <c r="BO39" i="25"/>
  <c r="W33" i="55"/>
  <c r="H70" i="61"/>
  <c r="G27" i="68"/>
  <c r="AA30" i="80"/>
  <c r="U31" i="40"/>
  <c r="Z5" i="40"/>
  <c r="X30" i="79"/>
  <c r="X13" i="78"/>
  <c r="U29" i="78"/>
  <c r="P68" i="61"/>
  <c r="P70" i="61"/>
  <c r="P71" i="61"/>
  <c r="AB39" i="60"/>
  <c r="X39" i="60"/>
  <c r="W39" i="60"/>
  <c r="V30" i="79"/>
  <c r="X33" i="55"/>
  <c r="R68" i="59"/>
  <c r="R70" i="59"/>
  <c r="R71" i="59"/>
  <c r="R74" i="59"/>
  <c r="R75" i="59"/>
  <c r="R65" i="59"/>
  <c r="AC39" i="60"/>
  <c r="X33" i="61"/>
  <c r="S30" i="80"/>
  <c r="CI39" i="25"/>
  <c r="X33" i="62"/>
  <c r="Y33" i="55"/>
  <c r="AC30" i="79"/>
  <c r="BV43" i="25"/>
  <c r="C65" i="69"/>
  <c r="C74" i="69"/>
  <c r="C75" i="69"/>
  <c r="C70" i="69"/>
  <c r="C71" i="69"/>
  <c r="X33" i="66"/>
  <c r="W29" i="78"/>
  <c r="V10" i="55"/>
  <c r="V26" i="55"/>
  <c r="V32" i="55"/>
  <c r="Z26" i="55"/>
  <c r="Y5" i="40"/>
  <c r="AD31" i="40"/>
  <c r="AA5" i="40"/>
  <c r="AG59" i="66"/>
  <c r="AP42" i="25"/>
  <c r="AO42" i="25"/>
  <c r="AA61" i="61"/>
  <c r="AD39" i="60"/>
  <c r="AF48" i="55"/>
  <c r="X48" i="55"/>
  <c r="Z31" i="40"/>
  <c r="AD33" i="55"/>
  <c r="AD68" i="41"/>
  <c r="Z68" i="41"/>
  <c r="M65" i="55"/>
  <c r="BW39" i="25"/>
  <c r="X29" i="78"/>
  <c r="H71" i="60"/>
  <c r="X68" i="41"/>
  <c r="X71" i="41"/>
  <c r="AB5" i="40"/>
  <c r="AB31" i="40"/>
  <c r="X31" i="40"/>
  <c r="X34" i="40"/>
  <c r="X5" i="40"/>
  <c r="U26" i="14"/>
  <c r="U27" i="55"/>
  <c r="AC68" i="41"/>
  <c r="AG63" i="41"/>
  <c r="AF68" i="41"/>
  <c r="AA29" i="78"/>
  <c r="O75" i="58"/>
  <c r="T29" i="78"/>
  <c r="BM43" i="25"/>
  <c r="AC16" i="74"/>
  <c r="AB68" i="41"/>
  <c r="U5" i="40"/>
  <c r="H71" i="61"/>
  <c r="AB29" i="78"/>
  <c r="J64" i="69"/>
  <c r="J33" i="69"/>
  <c r="W31" i="40"/>
  <c r="W5" i="40"/>
  <c r="M70" i="66"/>
  <c r="AD16" i="69"/>
  <c r="U32" i="55"/>
  <c r="U33" i="55"/>
  <c r="AD39" i="68"/>
  <c r="AE39" i="68"/>
  <c r="AF39" i="68"/>
  <c r="AC39" i="68"/>
  <c r="X39" i="68"/>
  <c r="Z39" i="68"/>
  <c r="M71" i="66"/>
  <c r="Y39" i="68"/>
  <c r="AB39" i="68"/>
  <c r="Z48" i="55"/>
  <c r="AA48" i="55"/>
  <c r="AB48" i="55"/>
  <c r="AC48" i="55"/>
  <c r="AD48" i="55"/>
  <c r="AD64" i="55"/>
  <c r="AD65" i="55"/>
  <c r="M29" i="68"/>
  <c r="M10" i="68"/>
  <c r="M27" i="68"/>
  <c r="M33" i="68"/>
  <c r="I29" i="74"/>
  <c r="I10" i="74"/>
  <c r="I27" i="74"/>
  <c r="K33" i="69"/>
  <c r="Q10" i="69"/>
  <c r="Q27" i="69"/>
  <c r="Q64" i="69"/>
  <c r="N9" i="49"/>
  <c r="N10" i="49"/>
  <c r="N11" i="49"/>
  <c r="O25" i="14"/>
  <c r="O31" i="14"/>
  <c r="AH36" i="14"/>
  <c r="AH67" i="14"/>
  <c r="M10" i="69"/>
  <c r="M27" i="69"/>
  <c r="M64" i="69"/>
  <c r="M29" i="74"/>
  <c r="N47" i="49"/>
  <c r="N48" i="49"/>
  <c r="O9" i="49"/>
  <c r="O10" i="49"/>
  <c r="O11" i="49"/>
  <c r="K7" i="53"/>
  <c r="K8" i="53"/>
  <c r="I33" i="69"/>
  <c r="K9" i="49"/>
  <c r="AH55" i="14"/>
  <c r="M64" i="68"/>
  <c r="I65" i="69"/>
  <c r="I68" i="69"/>
  <c r="I70" i="69"/>
  <c r="I71" i="69"/>
  <c r="I74" i="69"/>
  <c r="I75" i="69"/>
  <c r="N29" i="74"/>
  <c r="N10" i="74"/>
  <c r="N27" i="74"/>
  <c r="L6" i="68"/>
  <c r="G9" i="49"/>
  <c r="G10" i="49"/>
  <c r="G11" i="49"/>
  <c r="T7" i="49"/>
  <c r="K68" i="69"/>
  <c r="K70" i="69"/>
  <c r="K71" i="69"/>
  <c r="P6" i="68"/>
  <c r="O24" i="14"/>
  <c r="O30" i="14"/>
  <c r="J25" i="14"/>
  <c r="J31" i="14"/>
  <c r="J7" i="53"/>
  <c r="J8" i="53"/>
  <c r="N7" i="53"/>
  <c r="N8" i="53"/>
  <c r="R7" i="53"/>
  <c r="N10" i="69"/>
  <c r="N29" i="69"/>
  <c r="R23" i="69"/>
  <c r="R10" i="69"/>
  <c r="R27" i="69"/>
  <c r="N6" i="68"/>
  <c r="R10" i="49"/>
  <c r="R11" i="49"/>
  <c r="K47" i="49"/>
  <c r="P22" i="14"/>
  <c r="P28" i="14"/>
  <c r="P9" i="49"/>
  <c r="P10" i="49"/>
  <c r="P11" i="49"/>
  <c r="K68" i="74"/>
  <c r="K70" i="74"/>
  <c r="K71" i="74"/>
  <c r="H6" i="74"/>
  <c r="S73" i="14"/>
  <c r="H22" i="14"/>
  <c r="H28" i="14"/>
  <c r="H9" i="49"/>
  <c r="H10" i="49"/>
  <c r="H11" i="49"/>
  <c r="H7" i="51"/>
  <c r="H8" i="51"/>
  <c r="L7" i="51"/>
  <c r="L8" i="51"/>
  <c r="P7" i="51"/>
  <c r="H7" i="53"/>
  <c r="H8" i="53"/>
  <c r="S6" i="53"/>
  <c r="L25" i="14"/>
  <c r="L31" i="14"/>
  <c r="H26" i="14"/>
  <c r="H32" i="14"/>
  <c r="S5" i="54"/>
  <c r="O22" i="14"/>
  <c r="O28" i="14"/>
  <c r="J22" i="14"/>
  <c r="J28" i="14"/>
  <c r="J9" i="49"/>
  <c r="J10" i="49"/>
  <c r="J11" i="49"/>
  <c r="K24" i="14"/>
  <c r="K30" i="14"/>
  <c r="K10" i="49"/>
  <c r="K11" i="49"/>
  <c r="K65" i="74"/>
  <c r="G47" i="49"/>
  <c r="T8" i="49"/>
  <c r="J74" i="69"/>
  <c r="J75" i="69"/>
  <c r="K64" i="68"/>
  <c r="K33" i="68"/>
  <c r="O10" i="68"/>
  <c r="O27" i="68"/>
  <c r="O33" i="68"/>
  <c r="O29" i="68"/>
  <c r="M22" i="14"/>
  <c r="M28" i="14"/>
  <c r="L10" i="69"/>
  <c r="L27" i="69"/>
  <c r="L29" i="69"/>
  <c r="P23" i="74"/>
  <c r="P10" i="74"/>
  <c r="P27" i="74"/>
  <c r="L9" i="49"/>
  <c r="L10" i="49"/>
  <c r="L11" i="49"/>
  <c r="T6" i="49"/>
  <c r="S9" i="49"/>
  <c r="M65" i="68"/>
  <c r="G27" i="69"/>
  <c r="G29" i="69"/>
  <c r="L8" i="53"/>
  <c r="H29" i="74"/>
  <c r="H10" i="74"/>
  <c r="H27" i="74"/>
  <c r="H33" i="74"/>
  <c r="O10" i="74"/>
  <c r="O27" i="74"/>
  <c r="O29" i="74"/>
  <c r="G10" i="74"/>
  <c r="S6" i="74"/>
  <c r="K32" i="14"/>
  <c r="N64" i="74"/>
  <c r="N33" i="74"/>
  <c r="AH50" i="14"/>
  <c r="R22" i="14"/>
  <c r="G70" i="57"/>
  <c r="Q10" i="74"/>
  <c r="Q27" i="74"/>
  <c r="Q23" i="74"/>
  <c r="Q29" i="74"/>
  <c r="L10" i="74"/>
  <c r="L27" i="74"/>
  <c r="L29" i="74"/>
  <c r="R23" i="74"/>
  <c r="R29" i="74"/>
  <c r="R10" i="74"/>
  <c r="R27" i="74"/>
  <c r="R30" i="14"/>
  <c r="H24" i="14"/>
  <c r="AH62" i="14"/>
  <c r="M33" i="69"/>
  <c r="AN53" i="65"/>
  <c r="AH42" i="14"/>
  <c r="Q33" i="69"/>
  <c r="AH52" i="14"/>
  <c r="K65" i="69"/>
  <c r="K74" i="69"/>
  <c r="K75" i="69"/>
  <c r="AN47" i="65"/>
  <c r="AH37" i="14"/>
  <c r="N24" i="14"/>
  <c r="N30" i="14"/>
  <c r="S10" i="49"/>
  <c r="S11" i="49"/>
  <c r="H25" i="14"/>
  <c r="H31" i="14"/>
  <c r="AN44" i="65"/>
  <c r="AH34" i="14"/>
  <c r="R64" i="69"/>
  <c r="R33" i="69"/>
  <c r="AH40" i="14"/>
  <c r="K22" i="14"/>
  <c r="K28" i="14"/>
  <c r="R25" i="14"/>
  <c r="R31" i="14"/>
  <c r="P23" i="68"/>
  <c r="P10" i="68"/>
  <c r="P27" i="68"/>
  <c r="AE6" i="74"/>
  <c r="AB6" i="74"/>
  <c r="AC6" i="74"/>
  <c r="V6" i="74"/>
  <c r="U6" i="74"/>
  <c r="L24" i="14"/>
  <c r="L30" i="14"/>
  <c r="N29" i="68"/>
  <c r="N10" i="68"/>
  <c r="N27" i="68"/>
  <c r="Y6" i="74"/>
  <c r="Q65" i="69"/>
  <c r="Q74" i="69"/>
  <c r="Q75" i="69"/>
  <c r="Q68" i="69"/>
  <c r="Q70" i="69"/>
  <c r="Q71" i="69"/>
  <c r="P33" i="74"/>
  <c r="P64" i="74"/>
  <c r="L64" i="69"/>
  <c r="L33" i="69"/>
  <c r="X6" i="74"/>
  <c r="S23" i="74"/>
  <c r="S29" i="74"/>
  <c r="K74" i="68"/>
  <c r="K75" i="68"/>
  <c r="K68" i="68"/>
  <c r="K70" i="68"/>
  <c r="K71" i="68"/>
  <c r="K65" i="68"/>
  <c r="AE6" i="68"/>
  <c r="AF6" i="74"/>
  <c r="H30" i="14"/>
  <c r="N65" i="74"/>
  <c r="N68" i="74"/>
  <c r="N70" i="74"/>
  <c r="N71" i="74"/>
  <c r="N74" i="74"/>
  <c r="N75" i="74"/>
  <c r="O33" i="74"/>
  <c r="O64" i="74"/>
  <c r="L22" i="14"/>
  <c r="L28" i="14"/>
  <c r="Z6" i="74"/>
  <c r="L33" i="74"/>
  <c r="L64" i="74"/>
  <c r="R64" i="74"/>
  <c r="R33" i="74"/>
  <c r="G33" i="69"/>
  <c r="G64" i="69"/>
  <c r="M65" i="69"/>
  <c r="M68" i="69"/>
  <c r="M70" i="69"/>
  <c r="M71" i="69"/>
  <c r="M74" i="69"/>
  <c r="M75" i="69"/>
  <c r="AA6" i="74"/>
  <c r="AD6" i="74"/>
  <c r="G71" i="57"/>
  <c r="P29" i="74"/>
  <c r="G48" i="49"/>
  <c r="AC6" i="68"/>
  <c r="AN51" i="65"/>
  <c r="N64" i="68"/>
  <c r="N33" i="68"/>
  <c r="W6" i="74"/>
  <c r="AB15" i="74"/>
  <c r="Y6" i="68"/>
  <c r="V15" i="74"/>
  <c r="P29" i="68"/>
  <c r="R65" i="69"/>
  <c r="R68" i="69"/>
  <c r="R70" i="69"/>
  <c r="R71" i="69"/>
  <c r="R74" i="69"/>
  <c r="R75" i="69"/>
  <c r="O64" i="68"/>
  <c r="G74" i="69"/>
  <c r="G65" i="69"/>
  <c r="G68" i="69"/>
  <c r="G70" i="69"/>
  <c r="Z10" i="74"/>
  <c r="Z15" i="74"/>
  <c r="Z17" i="74"/>
  <c r="AA17" i="74"/>
  <c r="AA10" i="74"/>
  <c r="AA15" i="74"/>
  <c r="L68" i="69"/>
  <c r="L70" i="69"/>
  <c r="L71" i="69"/>
  <c r="L74" i="69"/>
  <c r="L75" i="69"/>
  <c r="L65" i="69"/>
  <c r="O65" i="74"/>
  <c r="O74" i="74"/>
  <c r="O75" i="74"/>
  <c r="O68" i="74"/>
  <c r="O70" i="74"/>
  <c r="O71" i="74"/>
  <c r="AF17" i="74"/>
  <c r="AF10" i="74"/>
  <c r="AF15" i="74"/>
  <c r="X10" i="74"/>
  <c r="X17" i="74"/>
  <c r="X15" i="74"/>
  <c r="P74" i="74"/>
  <c r="P75" i="74"/>
  <c r="P68" i="74"/>
  <c r="P70" i="74"/>
  <c r="P71" i="74"/>
  <c r="P65" i="74"/>
  <c r="AE17" i="68"/>
  <c r="AE15" i="68"/>
  <c r="AE10" i="68"/>
  <c r="AC15" i="68"/>
  <c r="AC17" i="68"/>
  <c r="AC10" i="68"/>
  <c r="AD10" i="74"/>
  <c r="AD15" i="74"/>
  <c r="AD17" i="74"/>
  <c r="AD18" i="74"/>
  <c r="Y15" i="74"/>
  <c r="Y10" i="74"/>
  <c r="Y17" i="74"/>
  <c r="Y15" i="68"/>
  <c r="Y17" i="68"/>
  <c r="Y10" i="68"/>
  <c r="W15" i="74"/>
  <c r="G71" i="69"/>
  <c r="AE10" i="74"/>
  <c r="AE17" i="74"/>
  <c r="I64" i="74"/>
  <c r="I33" i="74"/>
  <c r="H65" i="63"/>
  <c r="H68" i="63"/>
  <c r="H70" i="63"/>
  <c r="H71" i="63"/>
  <c r="H74" i="63"/>
  <c r="H75" i="63"/>
  <c r="H29" i="78"/>
  <c r="L29" i="78"/>
  <c r="W33" i="59"/>
  <c r="P10" i="69"/>
  <c r="P27" i="69"/>
  <c r="AG58" i="66"/>
  <c r="AC30" i="80"/>
  <c r="AD23" i="74"/>
  <c r="AD29" i="74"/>
  <c r="AD21" i="74"/>
  <c r="AD27" i="74"/>
  <c r="O65" i="68"/>
  <c r="O68" i="68"/>
  <c r="O70" i="68"/>
  <c r="O71" i="68"/>
  <c r="O74" i="68"/>
  <c r="O75" i="68"/>
  <c r="N68" i="68"/>
  <c r="N70" i="68"/>
  <c r="N71" i="68"/>
  <c r="N65" i="68"/>
  <c r="L65" i="74"/>
  <c r="L68" i="74"/>
  <c r="L70" i="74"/>
  <c r="L71" i="74"/>
  <c r="L74" i="74"/>
  <c r="L75" i="74"/>
  <c r="Z6" i="68"/>
  <c r="AC17" i="74"/>
  <c r="AC15" i="74"/>
  <c r="AC18" i="74"/>
  <c r="AC21" i="74"/>
  <c r="AC10" i="74"/>
  <c r="P64" i="68"/>
  <c r="P33" i="68"/>
  <c r="P23" i="69"/>
  <c r="P29" i="69"/>
  <c r="P24" i="14"/>
  <c r="M68" i="68"/>
  <c r="M70" i="68"/>
  <c r="M71" i="68"/>
  <c r="M74" i="68"/>
  <c r="M75" i="68"/>
  <c r="J24" i="14"/>
  <c r="Q24" i="14"/>
  <c r="J65" i="69"/>
  <c r="J68" i="69"/>
  <c r="J70" i="69"/>
  <c r="J71" i="69"/>
  <c r="AG26" i="14"/>
  <c r="U32" i="14"/>
  <c r="AA33" i="55"/>
  <c r="AG54" i="58"/>
  <c r="R26" i="55"/>
  <c r="R32" i="55"/>
  <c r="R10" i="55"/>
  <c r="R27" i="55"/>
  <c r="A9" i="40"/>
  <c r="AE18" i="40"/>
  <c r="V33" i="57"/>
  <c r="AC33" i="63"/>
  <c r="AC64" i="63"/>
  <c r="N33" i="63"/>
  <c r="N64" i="63"/>
  <c r="R64" i="58"/>
  <c r="R33" i="58"/>
  <c r="G75" i="69"/>
  <c r="R65" i="74"/>
  <c r="R68" i="74"/>
  <c r="R70" i="74"/>
  <c r="R71" i="74"/>
  <c r="R74" i="74"/>
  <c r="R75" i="74"/>
  <c r="K29" i="78"/>
  <c r="J10" i="55"/>
  <c r="J33" i="55"/>
  <c r="J32" i="55"/>
  <c r="AA27" i="61"/>
  <c r="AG21" i="61"/>
  <c r="W33" i="61"/>
  <c r="AC27" i="61"/>
  <c r="AG27" i="61"/>
  <c r="AG33" i="61"/>
  <c r="U27" i="58"/>
  <c r="H29" i="69"/>
  <c r="H10" i="69"/>
  <c r="S6" i="69"/>
  <c r="I64" i="68"/>
  <c r="I33" i="68"/>
  <c r="DS5" i="25"/>
  <c r="Q30" i="14"/>
  <c r="AH45" i="14"/>
  <c r="AG60" i="69"/>
  <c r="AE61" i="69"/>
  <c r="EK5" i="40"/>
  <c r="AG51" i="68"/>
  <c r="AE15" i="74"/>
  <c r="W17" i="74"/>
  <c r="W10" i="74"/>
  <c r="AB17" i="74"/>
  <c r="AB10" i="74"/>
  <c r="AF6" i="68"/>
  <c r="X6" i="68"/>
  <c r="Q64" i="74"/>
  <c r="Q33" i="74"/>
  <c r="AN46" i="65"/>
  <c r="R8" i="53"/>
  <c r="N25" i="14"/>
  <c r="N31" i="14"/>
  <c r="I22" i="14"/>
  <c r="I28" i="14"/>
  <c r="U15" i="74"/>
  <c r="U17" i="74"/>
  <c r="U16" i="74"/>
  <c r="U18" i="74"/>
  <c r="U23" i="74"/>
  <c r="U29" i="74"/>
  <c r="U10" i="74"/>
  <c r="AG6" i="74"/>
  <c r="G27" i="74"/>
  <c r="T15" i="74"/>
  <c r="T16" i="74"/>
  <c r="T17" i="74"/>
  <c r="AE27" i="59"/>
  <c r="AG10" i="59"/>
  <c r="AE21" i="57"/>
  <c r="AE27" i="57"/>
  <c r="AE22" i="57"/>
  <c r="AB23" i="63"/>
  <c r="AB21" i="63"/>
  <c r="AB27" i="63"/>
  <c r="S15" i="54"/>
  <c r="Y33" i="57"/>
  <c r="V27" i="66"/>
  <c r="M64" i="74"/>
  <c r="M33" i="74"/>
  <c r="AL9" i="41"/>
  <c r="J26" i="14"/>
  <c r="J32" i="14"/>
  <c r="F34" i="65"/>
  <c r="F40" i="65"/>
  <c r="L26" i="14"/>
  <c r="L32" i="14"/>
  <c r="AD29" i="78"/>
  <c r="AF61" i="68"/>
  <c r="EL5" i="40"/>
  <c r="EM6" i="40"/>
  <c r="AD30" i="80"/>
  <c r="AF16" i="74"/>
  <c r="AF18" i="74"/>
  <c r="BX39" i="25"/>
  <c r="AG16" i="53"/>
  <c r="AF11" i="53"/>
  <c r="E34" i="25"/>
  <c r="N74" i="68"/>
  <c r="N75" i="68"/>
  <c r="H64" i="74"/>
  <c r="S10" i="74"/>
  <c r="V10" i="74"/>
  <c r="V17" i="74"/>
  <c r="P8" i="51"/>
  <c r="K48" i="49"/>
  <c r="S47" i="49"/>
  <c r="AI47" i="49"/>
  <c r="R28" i="14"/>
  <c r="L29" i="68"/>
  <c r="L10" i="68"/>
  <c r="L27" i="68"/>
  <c r="V27" i="55"/>
  <c r="G64" i="68"/>
  <c r="G33" i="68"/>
  <c r="DV45" i="25"/>
  <c r="N27" i="69"/>
  <c r="S14" i="14"/>
  <c r="AD68" i="55"/>
  <c r="AD70" i="55"/>
  <c r="AD71" i="55"/>
  <c r="AD74" i="55"/>
  <c r="AD75" i="55"/>
  <c r="P33" i="55"/>
  <c r="I68" i="59"/>
  <c r="I70" i="59"/>
  <c r="I71" i="59"/>
  <c r="I65" i="59"/>
  <c r="I74" i="59"/>
  <c r="I75" i="59"/>
  <c r="N33" i="58"/>
  <c r="N64" i="58"/>
  <c r="M64" i="58"/>
  <c r="M33" i="58"/>
  <c r="L68" i="58"/>
  <c r="L70" i="58"/>
  <c r="L71" i="58"/>
  <c r="L74" i="58"/>
  <c r="L75" i="58"/>
  <c r="L65" i="58"/>
  <c r="J65" i="58"/>
  <c r="J68" i="58"/>
  <c r="J70" i="58"/>
  <c r="J71" i="58"/>
  <c r="J74" i="58"/>
  <c r="J75" i="58"/>
  <c r="S39" i="14"/>
  <c r="J30" i="14"/>
  <c r="AH66" i="14"/>
  <c r="K25" i="14"/>
  <c r="P65" i="55"/>
  <c r="P68" i="55"/>
  <c r="P70" i="55"/>
  <c r="P71" i="55"/>
  <c r="S71" i="41"/>
  <c r="DQ5" i="25"/>
  <c r="U27" i="57"/>
  <c r="I74" i="57"/>
  <c r="I68" i="57"/>
  <c r="I65" i="57"/>
  <c r="X33" i="57"/>
  <c r="AD61" i="63"/>
  <c r="AD64" i="63"/>
  <c r="Q33" i="66"/>
  <c r="Q64" i="66"/>
  <c r="BG31" i="40"/>
  <c r="BG5" i="40"/>
  <c r="A6" i="40"/>
  <c r="CI31" i="40"/>
  <c r="CI34" i="40"/>
  <c r="CI5" i="40"/>
  <c r="W34" i="40"/>
  <c r="AB34" i="40"/>
  <c r="H21" i="66"/>
  <c r="J21" i="66"/>
  <c r="S21" i="66"/>
  <c r="S18" i="66"/>
  <c r="S14" i="66"/>
  <c r="R33" i="66"/>
  <c r="R64" i="66"/>
  <c r="P30" i="14"/>
  <c r="P68" i="60"/>
  <c r="P70" i="60"/>
  <c r="P71" i="60"/>
  <c r="P74" i="60"/>
  <c r="P75" i="60"/>
  <c r="P65" i="60"/>
  <c r="AE26" i="55"/>
  <c r="AG26" i="55"/>
  <c r="AG32" i="55"/>
  <c r="AE32" i="55"/>
  <c r="AE10" i="55"/>
  <c r="H65" i="41"/>
  <c r="L71" i="41"/>
  <c r="L65" i="41"/>
  <c r="O65" i="41"/>
  <c r="X27" i="63"/>
  <c r="AG21" i="63"/>
  <c r="E40" i="25"/>
  <c r="M74" i="55"/>
  <c r="M75" i="55"/>
  <c r="AO47" i="25"/>
  <c r="AE22" i="80"/>
  <c r="AE30" i="80"/>
  <c r="AI42" i="25"/>
  <c r="M33" i="55"/>
  <c r="M74" i="66"/>
  <c r="M75" i="66"/>
  <c r="M65" i="66"/>
  <c r="N10" i="55"/>
  <c r="N27" i="55"/>
  <c r="O64" i="63"/>
  <c r="AI43" i="25"/>
  <c r="C38" i="25"/>
  <c r="Z32" i="55"/>
  <c r="J65" i="41"/>
  <c r="S65" i="41"/>
  <c r="D31" i="25"/>
  <c r="AG22" i="59"/>
  <c r="DK33" i="40"/>
  <c r="DK34" i="40"/>
  <c r="DK5" i="40"/>
  <c r="D33" i="69"/>
  <c r="D64" i="69"/>
  <c r="O64" i="57"/>
  <c r="O33" i="57"/>
  <c r="M64" i="60"/>
  <c r="M33" i="60"/>
  <c r="S21" i="69"/>
  <c r="P65" i="66"/>
  <c r="P68" i="66"/>
  <c r="P70" i="66"/>
  <c r="P71" i="66"/>
  <c r="Z27" i="62"/>
  <c r="AF21" i="62"/>
  <c r="AG21" i="62"/>
  <c r="BU34" i="40"/>
  <c r="BG34" i="40"/>
  <c r="O68" i="60"/>
  <c r="O70" i="60"/>
  <c r="O71" i="60"/>
  <c r="O65" i="60"/>
  <c r="AG14" i="66"/>
  <c r="AB21" i="66"/>
  <c r="AB27" i="66"/>
  <c r="AG25" i="74"/>
  <c r="AG26" i="74"/>
  <c r="M33" i="62"/>
  <c r="S27" i="62"/>
  <c r="S33" i="62"/>
  <c r="M64" i="62"/>
  <c r="AG25" i="58"/>
  <c r="AG26" i="58"/>
  <c r="E33" i="58"/>
  <c r="E75" i="58"/>
  <c r="E65" i="58"/>
  <c r="AD21" i="57"/>
  <c r="AG21" i="57"/>
  <c r="AG14" i="57"/>
  <c r="AD22" i="57"/>
  <c r="BU5" i="40"/>
  <c r="S27" i="55"/>
  <c r="J71" i="41"/>
  <c r="M65" i="41"/>
  <c r="R65" i="41"/>
  <c r="R71" i="41"/>
  <c r="M71" i="41"/>
  <c r="DT5" i="25"/>
  <c r="DU5" i="25"/>
  <c r="AE33" i="40"/>
  <c r="K21" i="59"/>
  <c r="Q21" i="59"/>
  <c r="S21" i="59"/>
  <c r="N33" i="66"/>
  <c r="N64" i="66"/>
  <c r="N64" i="57"/>
  <c r="N33" i="57"/>
  <c r="DD34" i="40"/>
  <c r="J68" i="55"/>
  <c r="J74" i="55"/>
  <c r="J65" i="55"/>
  <c r="C74" i="68"/>
  <c r="C75" i="68"/>
  <c r="C65" i="68"/>
  <c r="C68" i="68"/>
  <c r="C70" i="68"/>
  <c r="C71" i="68"/>
  <c r="D65" i="66"/>
  <c r="D68" i="66"/>
  <c r="D70" i="66"/>
  <c r="D71" i="66"/>
  <c r="E65" i="66"/>
  <c r="E68" i="66"/>
  <c r="E70" i="66"/>
  <c r="E71" i="66"/>
  <c r="E74" i="66"/>
  <c r="E75" i="66"/>
  <c r="I21" i="62"/>
  <c r="S21" i="62"/>
  <c r="S14" i="62"/>
  <c r="Q64" i="62"/>
  <c r="Q33" i="62"/>
  <c r="I33" i="61"/>
  <c r="S10" i="61"/>
  <c r="C74" i="60"/>
  <c r="C75" i="60"/>
  <c r="C65" i="60"/>
  <c r="C68" i="60"/>
  <c r="C70" i="60"/>
  <c r="C71" i="60"/>
  <c r="P27" i="59"/>
  <c r="S10" i="59"/>
  <c r="N33" i="59"/>
  <c r="N64" i="59"/>
  <c r="M33" i="59"/>
  <c r="M64" i="59"/>
  <c r="L74" i="59"/>
  <c r="L75" i="59"/>
  <c r="L68" i="59"/>
  <c r="L70" i="59"/>
  <c r="L71" i="59"/>
  <c r="L65" i="59"/>
  <c r="E74" i="57"/>
  <c r="E75" i="57"/>
  <c r="E65" i="57"/>
  <c r="E68" i="57"/>
  <c r="E70" i="57"/>
  <c r="E71" i="57"/>
  <c r="Q64" i="63"/>
  <c r="Q33" i="63"/>
  <c r="X64" i="55"/>
  <c r="R68" i="63"/>
  <c r="R70" i="63"/>
  <c r="R71" i="63"/>
  <c r="R74" i="63"/>
  <c r="R75" i="63"/>
  <c r="AG59" i="41"/>
  <c r="AG68" i="41"/>
  <c r="K71" i="41"/>
  <c r="I65" i="41"/>
  <c r="O71" i="41"/>
  <c r="P65" i="41"/>
  <c r="E36" i="25"/>
  <c r="Y33" i="58"/>
  <c r="AG23" i="63"/>
  <c r="DX34" i="40"/>
  <c r="Y34" i="40"/>
  <c r="Z34" i="40"/>
  <c r="AD34" i="40"/>
  <c r="AH34" i="40"/>
  <c r="AL34" i="40"/>
  <c r="BK34" i="40"/>
  <c r="BR34" i="40"/>
  <c r="CD34" i="40"/>
  <c r="CN34" i="40"/>
  <c r="CV34" i="40"/>
  <c r="DA34" i="40"/>
  <c r="DH34" i="40"/>
  <c r="DS34" i="40"/>
  <c r="DW34" i="40"/>
  <c r="AG22" i="57"/>
  <c r="Q64" i="55"/>
  <c r="Q33" i="55"/>
  <c r="AG23" i="59"/>
  <c r="S27" i="66"/>
  <c r="S33" i="66"/>
  <c r="Q64" i="61"/>
  <c r="Q33" i="61"/>
  <c r="R21" i="61"/>
  <c r="R27" i="61"/>
  <c r="S27" i="61"/>
  <c r="S33" i="61"/>
  <c r="U18" i="40"/>
  <c r="DI34" i="40"/>
  <c r="AS14" i="40"/>
  <c r="AS34" i="40"/>
  <c r="AS5" i="40"/>
  <c r="M74" i="61"/>
  <c r="M75" i="61"/>
  <c r="M68" i="61"/>
  <c r="M70" i="61"/>
  <c r="M71" i="61"/>
  <c r="O64" i="55"/>
  <c r="O33" i="55"/>
  <c r="H21" i="55"/>
  <c r="S21" i="55"/>
  <c r="S18" i="55"/>
  <c r="L64" i="66"/>
  <c r="S48" i="66"/>
  <c r="K65" i="62"/>
  <c r="K68" i="62"/>
  <c r="K70" i="62"/>
  <c r="K71" i="62"/>
  <c r="K74" i="62"/>
  <c r="K75" i="62"/>
  <c r="S39" i="62"/>
  <c r="L21" i="61"/>
  <c r="S18" i="61"/>
  <c r="C68" i="61"/>
  <c r="C70" i="61"/>
  <c r="C71" i="61"/>
  <c r="C65" i="61"/>
  <c r="AE21" i="58"/>
  <c r="AE27" i="58"/>
  <c r="AE22" i="58"/>
  <c r="AG22" i="58"/>
  <c r="AD23" i="58"/>
  <c r="AD21" i="58"/>
  <c r="AC21" i="58"/>
  <c r="AC27" i="58"/>
  <c r="AC23" i="58"/>
  <c r="AG24" i="59"/>
  <c r="C65" i="59"/>
  <c r="C74" i="59"/>
  <c r="C75" i="59"/>
  <c r="D74" i="59"/>
  <c r="D75" i="59"/>
  <c r="D65" i="59"/>
  <c r="D68" i="59"/>
  <c r="D70" i="59"/>
  <c r="D71" i="59"/>
  <c r="AG24" i="63"/>
  <c r="AG25" i="63"/>
  <c r="AG26" i="63"/>
  <c r="Z10" i="55"/>
  <c r="Z27" i="55"/>
  <c r="P65" i="61"/>
  <c r="BO47" i="25"/>
  <c r="R74" i="62"/>
  <c r="R75" i="62"/>
  <c r="AM47" i="25"/>
  <c r="AC47" i="25"/>
  <c r="AF47" i="25"/>
  <c r="AD47" i="25"/>
  <c r="BK39" i="25"/>
  <c r="AZ47" i="25"/>
  <c r="BK42" i="25"/>
  <c r="BK47" i="25"/>
  <c r="AE21" i="55"/>
  <c r="AE23" i="55"/>
  <c r="AB23" i="55"/>
  <c r="AF23" i="55"/>
  <c r="AG23" i="55"/>
  <c r="AB21" i="55"/>
  <c r="AB27" i="55"/>
  <c r="AF22" i="66"/>
  <c r="AG22" i="66"/>
  <c r="AF21" i="66"/>
  <c r="AF27" i="66"/>
  <c r="AG24" i="74"/>
  <c r="E74" i="74"/>
  <c r="E75" i="74"/>
  <c r="E68" i="74"/>
  <c r="E70" i="74"/>
  <c r="E71" i="74"/>
  <c r="K74" i="55"/>
  <c r="K68" i="55"/>
  <c r="K70" i="55"/>
  <c r="S23" i="66"/>
  <c r="O64" i="66"/>
  <c r="O33" i="66"/>
  <c r="E68" i="62"/>
  <c r="E70" i="62"/>
  <c r="E71" i="62"/>
  <c r="E65" i="62"/>
  <c r="O33" i="62"/>
  <c r="O64" i="62"/>
  <c r="AF22" i="62"/>
  <c r="AG22" i="62"/>
  <c r="AF27" i="62"/>
  <c r="O64" i="61"/>
  <c r="G68" i="61"/>
  <c r="G74" i="61"/>
  <c r="G65" i="61"/>
  <c r="Q74" i="60"/>
  <c r="Q75" i="60"/>
  <c r="Q68" i="60"/>
  <c r="Q70" i="60"/>
  <c r="Q71" i="60"/>
  <c r="Q65" i="60"/>
  <c r="I74" i="60"/>
  <c r="I75" i="60"/>
  <c r="I65" i="60"/>
  <c r="K74" i="60"/>
  <c r="K75" i="60"/>
  <c r="K65" i="60"/>
  <c r="K68" i="60"/>
  <c r="K70" i="60"/>
  <c r="K71" i="60"/>
  <c r="P23" i="58"/>
  <c r="S23" i="58"/>
  <c r="P21" i="58"/>
  <c r="P27" i="58"/>
  <c r="Q64" i="58"/>
  <c r="Q33" i="58"/>
  <c r="H74" i="58"/>
  <c r="H65" i="58"/>
  <c r="H68" i="58"/>
  <c r="O64" i="59"/>
  <c r="O33" i="59"/>
  <c r="G64" i="59"/>
  <c r="S39" i="59"/>
  <c r="AD21" i="59"/>
  <c r="AG14" i="59"/>
  <c r="S22" i="57"/>
  <c r="S23" i="57"/>
  <c r="L65" i="63"/>
  <c r="L68" i="63"/>
  <c r="L70" i="63"/>
  <c r="L71" i="63"/>
  <c r="L74" i="63"/>
  <c r="L75" i="63"/>
  <c r="K68" i="63"/>
  <c r="K70" i="63"/>
  <c r="K71" i="63"/>
  <c r="K65" i="63"/>
  <c r="K74" i="63"/>
  <c r="K75" i="63"/>
  <c r="I64" i="63"/>
  <c r="S48" i="63"/>
  <c r="AG22" i="68"/>
  <c r="AD15" i="69"/>
  <c r="AD17" i="69"/>
  <c r="AD18" i="69"/>
  <c r="AD10" i="69"/>
  <c r="D10" i="68"/>
  <c r="D27" i="68"/>
  <c r="D29" i="68"/>
  <c r="S61" i="61"/>
  <c r="J64" i="61"/>
  <c r="S61" i="63"/>
  <c r="V13" i="40"/>
  <c r="V34" i="40"/>
  <c r="Q48" i="49"/>
  <c r="AE47" i="25"/>
  <c r="W47" i="25"/>
  <c r="AA47" i="25"/>
  <c r="U20" i="40"/>
  <c r="DT47" i="25"/>
  <c r="DT45" i="25"/>
  <c r="EC42" i="25"/>
  <c r="D74" i="74"/>
  <c r="D75" i="74"/>
  <c r="D68" i="74"/>
  <c r="D70" i="74"/>
  <c r="D71" i="74"/>
  <c r="I74" i="66"/>
  <c r="I75" i="66"/>
  <c r="G74" i="66"/>
  <c r="G68" i="66"/>
  <c r="S18" i="62"/>
  <c r="AG48" i="62"/>
  <c r="H21" i="61"/>
  <c r="S21" i="61"/>
  <c r="S14" i="61"/>
  <c r="AG24" i="61"/>
  <c r="D65" i="61"/>
  <c r="D68" i="61"/>
  <c r="D70" i="61"/>
  <c r="D71" i="61"/>
  <c r="D74" i="61"/>
  <c r="D75" i="61"/>
  <c r="AG26" i="60"/>
  <c r="R68" i="60"/>
  <c r="R70" i="60"/>
  <c r="R71" i="60"/>
  <c r="R74" i="60"/>
  <c r="R75" i="60"/>
  <c r="S23" i="60"/>
  <c r="N33" i="60"/>
  <c r="N64" i="60"/>
  <c r="J65" i="60"/>
  <c r="J68" i="60"/>
  <c r="J70" i="60"/>
  <c r="J71" i="60"/>
  <c r="AG24" i="58"/>
  <c r="K68" i="59"/>
  <c r="K70" i="59"/>
  <c r="K71" i="59"/>
  <c r="K65" i="59"/>
  <c r="K74" i="59"/>
  <c r="K75" i="59"/>
  <c r="J74" i="59"/>
  <c r="J75" i="59"/>
  <c r="J68" i="59"/>
  <c r="J70" i="59"/>
  <c r="J71" i="59"/>
  <c r="AG24" i="57"/>
  <c r="AD27" i="57"/>
  <c r="K33" i="63"/>
  <c r="S10" i="63"/>
  <c r="P22" i="63"/>
  <c r="S22" i="63"/>
  <c r="P21" i="63"/>
  <c r="S39" i="63"/>
  <c r="G64" i="63"/>
  <c r="S61" i="59"/>
  <c r="G74" i="60"/>
  <c r="G65" i="60"/>
  <c r="G68" i="60"/>
  <c r="AE8" i="40"/>
  <c r="U13" i="40"/>
  <c r="U34" i="40"/>
  <c r="AH16" i="51"/>
  <c r="AH27" i="51"/>
  <c r="AH29" i="51"/>
  <c r="AG22" i="69"/>
  <c r="O27" i="69"/>
  <c r="DZ47" i="25"/>
  <c r="DZ45" i="25"/>
  <c r="E33" i="68"/>
  <c r="E64" i="68"/>
  <c r="AF21" i="55"/>
  <c r="AF27" i="55"/>
  <c r="AG24" i="66"/>
  <c r="AG26" i="66"/>
  <c r="AE23" i="66"/>
  <c r="AG23" i="66"/>
  <c r="AE21" i="66"/>
  <c r="AE27" i="66"/>
  <c r="N64" i="62"/>
  <c r="L68" i="62"/>
  <c r="L70" i="62"/>
  <c r="L71" i="62"/>
  <c r="L74" i="62"/>
  <c r="L75" i="62"/>
  <c r="L65" i="62"/>
  <c r="G64" i="62"/>
  <c r="AB27" i="62"/>
  <c r="R23" i="61"/>
  <c r="S23" i="61"/>
  <c r="N33" i="61"/>
  <c r="N64" i="61"/>
  <c r="K74" i="61"/>
  <c r="K75" i="61"/>
  <c r="K68" i="61"/>
  <c r="K70" i="61"/>
  <c r="K71" i="61"/>
  <c r="AG25" i="60"/>
  <c r="S18" i="58"/>
  <c r="G21" i="58"/>
  <c r="S21" i="58"/>
  <c r="S24" i="58"/>
  <c r="S22" i="58"/>
  <c r="I74" i="58"/>
  <c r="I75" i="58"/>
  <c r="I65" i="58"/>
  <c r="I68" i="58"/>
  <c r="I70" i="58"/>
  <c r="I71" i="58"/>
  <c r="AD27" i="58"/>
  <c r="AG26" i="59"/>
  <c r="Q23" i="59"/>
  <c r="S23" i="59"/>
  <c r="Q27" i="59"/>
  <c r="H64" i="59"/>
  <c r="S48" i="59"/>
  <c r="C68" i="57"/>
  <c r="C70" i="57"/>
  <c r="C71" i="57"/>
  <c r="C74" i="57"/>
  <c r="C75" i="57"/>
  <c r="C65" i="57"/>
  <c r="G33" i="57"/>
  <c r="G65" i="57"/>
  <c r="C74" i="63"/>
  <c r="C75" i="63"/>
  <c r="C65" i="63"/>
  <c r="C68" i="63"/>
  <c r="C70" i="63"/>
  <c r="C71" i="63"/>
  <c r="E68" i="63"/>
  <c r="E70" i="63"/>
  <c r="E71" i="63"/>
  <c r="E65" i="63"/>
  <c r="D10" i="55"/>
  <c r="D71" i="55"/>
  <c r="D32" i="55"/>
  <c r="K10" i="55"/>
  <c r="K32" i="55"/>
  <c r="AG24" i="68"/>
  <c r="AG26" i="68"/>
  <c r="AF10" i="69"/>
  <c r="AF15" i="69"/>
  <c r="AF18" i="69"/>
  <c r="K65" i="58"/>
  <c r="K68" i="58"/>
  <c r="K70" i="58"/>
  <c r="K71" i="58"/>
  <c r="S61" i="58"/>
  <c r="S18" i="40"/>
  <c r="S34" i="40"/>
  <c r="S5" i="40"/>
  <c r="T5" i="40"/>
  <c r="T18" i="40"/>
  <c r="T14" i="40"/>
  <c r="M29" i="78"/>
  <c r="Q13" i="78"/>
  <c r="Q20" i="78"/>
  <c r="BD47" i="25"/>
  <c r="BD45" i="25"/>
  <c r="DU47" i="25"/>
  <c r="DQ47" i="25"/>
  <c r="Q17" i="78"/>
  <c r="Q29" i="78"/>
  <c r="R27" i="68"/>
  <c r="D48" i="25"/>
  <c r="BJ47" i="25"/>
  <c r="BG47" i="25"/>
  <c r="BG45" i="25"/>
  <c r="BC47" i="25"/>
  <c r="BC45" i="25"/>
  <c r="BB47" i="25"/>
  <c r="BB45" i="25"/>
  <c r="EA47" i="25"/>
  <c r="EA45" i="25"/>
  <c r="DS47" i="25"/>
  <c r="EB45" i="25"/>
  <c r="DY45" i="25"/>
  <c r="V17" i="69"/>
  <c r="AG17" i="69"/>
  <c r="V10" i="69"/>
  <c r="V15" i="69"/>
  <c r="P25" i="14"/>
  <c r="P31" i="14"/>
  <c r="DO47" i="25"/>
  <c r="BI45" i="25"/>
  <c r="BE45" i="25"/>
  <c r="BF47" i="25"/>
  <c r="BF45" i="25"/>
  <c r="BA47" i="25"/>
  <c r="AY45" i="25"/>
  <c r="DX47" i="25"/>
  <c r="DW47" i="25"/>
  <c r="DW45" i="25"/>
  <c r="Q23" i="69"/>
  <c r="Q29" i="69"/>
  <c r="M25" i="14"/>
  <c r="M31" i="14"/>
  <c r="AF61" i="62"/>
  <c r="CZ47" i="25"/>
  <c r="AE61" i="63"/>
  <c r="AE64" i="63"/>
  <c r="AC61" i="62"/>
  <c r="AC64" i="62"/>
  <c r="DN47" i="25"/>
  <c r="DN45" i="25"/>
  <c r="CY47" i="25"/>
  <c r="AE16" i="69"/>
  <c r="AE18" i="69"/>
  <c r="AE61" i="62"/>
  <c r="AE64" i="62"/>
  <c r="AE16" i="74"/>
  <c r="AD61" i="62"/>
  <c r="AD64" i="62"/>
  <c r="BT43" i="25"/>
  <c r="BT39" i="25"/>
  <c r="J6" i="68"/>
  <c r="DM47" i="25"/>
  <c r="AD61" i="61"/>
  <c r="AD64" i="61"/>
  <c r="AC16" i="69"/>
  <c r="AC18" i="69"/>
  <c r="CH42" i="25"/>
  <c r="CX47" i="25"/>
  <c r="DK47" i="25"/>
  <c r="DK45" i="25"/>
  <c r="BU42" i="25"/>
  <c r="BU47" i="25"/>
  <c r="DJ45" i="25"/>
  <c r="DL45" i="25"/>
  <c r="AB61" i="61"/>
  <c r="AB64" i="61"/>
  <c r="CG42" i="25"/>
  <c r="CG47" i="25"/>
  <c r="CW47" i="25"/>
  <c r="CW45" i="25"/>
  <c r="AC61" i="61"/>
  <c r="CV47" i="25"/>
  <c r="CV45" i="25"/>
  <c r="DI47" i="25"/>
  <c r="DI45" i="25"/>
  <c r="BP39" i="25"/>
  <c r="W61" i="61"/>
  <c r="W64" i="61"/>
  <c r="CU45" i="25"/>
  <c r="AG60" i="68"/>
  <c r="CS47" i="25"/>
  <c r="BQ43" i="25"/>
  <c r="CE43" i="25"/>
  <c r="V61" i="68"/>
  <c r="DH45" i="25"/>
  <c r="AA61" i="63"/>
  <c r="AA64" i="63"/>
  <c r="BR43" i="25"/>
  <c r="Y16" i="69"/>
  <c r="Y18" i="69"/>
  <c r="CE39" i="25"/>
  <c r="W16" i="69"/>
  <c r="W18" i="69"/>
  <c r="V61" i="63"/>
  <c r="V64" i="63"/>
  <c r="Z61" i="61"/>
  <c r="Z64" i="61"/>
  <c r="DG47" i="25"/>
  <c r="CR47" i="25"/>
  <c r="CC43" i="25"/>
  <c r="CC39" i="25"/>
  <c r="CP47" i="25"/>
  <c r="Y61" i="61"/>
  <c r="Y64" i="61"/>
  <c r="DF47" i="25"/>
  <c r="DD47" i="25"/>
  <c r="X61" i="61"/>
  <c r="X64" i="61"/>
  <c r="DE45" i="25"/>
  <c r="W61" i="63"/>
  <c r="W64" i="63"/>
  <c r="H6" i="68"/>
  <c r="DC47" i="25"/>
  <c r="EM9" i="40"/>
  <c r="AG59" i="59"/>
  <c r="CM15" i="25"/>
  <c r="AW11" i="25"/>
  <c r="AW9" i="25"/>
  <c r="Q6" i="68"/>
  <c r="AG56" i="62"/>
  <c r="AG56" i="58"/>
  <c r="CO47" i="25"/>
  <c r="J27" i="74"/>
  <c r="Q10" i="49"/>
  <c r="Q11" i="49"/>
  <c r="AG31" i="49"/>
  <c r="AN9" i="41"/>
  <c r="V25" i="14"/>
  <c r="V31" i="14"/>
  <c r="BV42" i="25"/>
  <c r="BV47" i="25"/>
  <c r="E5" i="25"/>
  <c r="BY17" i="25"/>
  <c r="X74" i="61"/>
  <c r="X75" i="61"/>
  <c r="X68" i="61"/>
  <c r="X70" i="61"/>
  <c r="X71" i="61"/>
  <c r="X65" i="61"/>
  <c r="AC74" i="62"/>
  <c r="AC75" i="62"/>
  <c r="AC68" i="62"/>
  <c r="AC70" i="62"/>
  <c r="AC71" i="62"/>
  <c r="AC65" i="62"/>
  <c r="AD33" i="74"/>
  <c r="AD64" i="74"/>
  <c r="AB65" i="61"/>
  <c r="AB68" i="61"/>
  <c r="AB70" i="61"/>
  <c r="AB71" i="61"/>
  <c r="AB74" i="61"/>
  <c r="AB75" i="61"/>
  <c r="P48" i="49"/>
  <c r="S48" i="49"/>
  <c r="AI48" i="49"/>
  <c r="BN43" i="25"/>
  <c r="Y74" i="61"/>
  <c r="Y75" i="61"/>
  <c r="Y68" i="61"/>
  <c r="Y70" i="61"/>
  <c r="Y71" i="61"/>
  <c r="Y65" i="61"/>
  <c r="W74" i="61"/>
  <c r="W75" i="61"/>
  <c r="W68" i="61"/>
  <c r="W70" i="61"/>
  <c r="W71" i="61"/>
  <c r="W65" i="61"/>
  <c r="AB33" i="55"/>
  <c r="AW10" i="25"/>
  <c r="BM39" i="25"/>
  <c r="BN39" i="25"/>
  <c r="BQ39" i="25"/>
  <c r="BR39" i="25"/>
  <c r="BS39" i="25"/>
  <c r="BY39" i="25"/>
  <c r="Z65" i="61"/>
  <c r="Z68" i="61"/>
  <c r="Z70" i="61"/>
  <c r="Z71" i="61"/>
  <c r="Z74" i="61"/>
  <c r="Z75" i="61"/>
  <c r="W23" i="69"/>
  <c r="W29" i="69"/>
  <c r="W21" i="69"/>
  <c r="W27" i="69"/>
  <c r="BQ42" i="25"/>
  <c r="BQ47" i="25"/>
  <c r="Y16" i="74"/>
  <c r="Y18" i="74"/>
  <c r="EM20" i="40"/>
  <c r="X61" i="68"/>
  <c r="AE14" i="40"/>
  <c r="AE33" i="66"/>
  <c r="G75" i="60"/>
  <c r="G70" i="66"/>
  <c r="AD21" i="69"/>
  <c r="AD27" i="69"/>
  <c r="AD23" i="69"/>
  <c r="AD29" i="69"/>
  <c r="AB33" i="66"/>
  <c r="O68" i="57"/>
  <c r="O74" i="57"/>
  <c r="O75" i="57"/>
  <c r="O65" i="57"/>
  <c r="V6" i="68"/>
  <c r="AG15" i="74"/>
  <c r="AG57" i="63"/>
  <c r="AF61" i="63"/>
  <c r="AF64" i="63"/>
  <c r="AN56" i="65"/>
  <c r="H27" i="69"/>
  <c r="T15" i="69"/>
  <c r="S10" i="69"/>
  <c r="T17" i="69"/>
  <c r="T16" i="69"/>
  <c r="R74" i="58"/>
  <c r="R75" i="58"/>
  <c r="R65" i="58"/>
  <c r="R68" i="58"/>
  <c r="R70" i="58"/>
  <c r="R71" i="58"/>
  <c r="AC65" i="63"/>
  <c r="AC68" i="63"/>
  <c r="AC70" i="63"/>
  <c r="AC71" i="63"/>
  <c r="AC74" i="63"/>
  <c r="AC75" i="63"/>
  <c r="Z15" i="68"/>
  <c r="Z10" i="68"/>
  <c r="Z17" i="68"/>
  <c r="AQ69" i="65"/>
  <c r="AI13" i="25"/>
  <c r="AG56" i="74"/>
  <c r="U61" i="74"/>
  <c r="AG61" i="74"/>
  <c r="AH5" i="25"/>
  <c r="U39" i="62"/>
  <c r="AG38" i="62"/>
  <c r="DC45" i="25"/>
  <c r="AW26" i="25"/>
  <c r="AK42" i="25"/>
  <c r="E35" i="25"/>
  <c r="X5" i="25"/>
  <c r="AB5" i="25"/>
  <c r="W5" i="25"/>
  <c r="AI12" i="25"/>
  <c r="AH44" i="14"/>
  <c r="EA5" i="40"/>
  <c r="EM7" i="40"/>
  <c r="DD45" i="25"/>
  <c r="DF45" i="25"/>
  <c r="CC42" i="25"/>
  <c r="CC47" i="25"/>
  <c r="CM8" i="25"/>
  <c r="AW8" i="25"/>
  <c r="CD42" i="25"/>
  <c r="AN42" i="25"/>
  <c r="CD43" i="25"/>
  <c r="AN43" i="25"/>
  <c r="CR45" i="25"/>
  <c r="V74" i="63"/>
  <c r="V75" i="63"/>
  <c r="V65" i="63"/>
  <c r="V68" i="63"/>
  <c r="V70" i="63"/>
  <c r="V71" i="63"/>
  <c r="T30" i="80"/>
  <c r="BR42" i="25"/>
  <c r="CF39" i="25"/>
  <c r="AP39" i="25"/>
  <c r="BY28" i="25"/>
  <c r="W65" i="41"/>
  <c r="W68" i="41"/>
  <c r="W71" i="41"/>
  <c r="AW7" i="25"/>
  <c r="Y61" i="62"/>
  <c r="Y64" i="62"/>
  <c r="CS45" i="25"/>
  <c r="AA25" i="14"/>
  <c r="AA31" i="14"/>
  <c r="EF34" i="40"/>
  <c r="CH39" i="25"/>
  <c r="AR39" i="25"/>
  <c r="AR43" i="25"/>
  <c r="AR47" i="25"/>
  <c r="BT42" i="25"/>
  <c r="BT47" i="25"/>
  <c r="C32" i="25"/>
  <c r="AE65" i="62"/>
  <c r="AE74" i="62"/>
  <c r="AE75" i="62"/>
  <c r="AE68" i="62"/>
  <c r="AE70" i="62"/>
  <c r="AE71" i="62"/>
  <c r="AF61" i="61"/>
  <c r="AF64" i="61"/>
  <c r="BA45" i="25"/>
  <c r="CY45" i="25"/>
  <c r="BJ45" i="25"/>
  <c r="EK34" i="40"/>
  <c r="AO47" i="65"/>
  <c r="EL34" i="40"/>
  <c r="AO46" i="65"/>
  <c r="S46" i="49"/>
  <c r="AI46" i="49"/>
  <c r="DU45" i="25"/>
  <c r="T34" i="40"/>
  <c r="AF21" i="69"/>
  <c r="AF23" i="69"/>
  <c r="AF29" i="69"/>
  <c r="N68" i="61"/>
  <c r="N70" i="61"/>
  <c r="N71" i="61"/>
  <c r="N74" i="61"/>
  <c r="N75" i="61"/>
  <c r="N65" i="61"/>
  <c r="R64" i="61"/>
  <c r="R33" i="61"/>
  <c r="AF33" i="55"/>
  <c r="O33" i="69"/>
  <c r="O64" i="69"/>
  <c r="AE13" i="40"/>
  <c r="AE20" i="40"/>
  <c r="AE31" i="40"/>
  <c r="AE34" i="40"/>
  <c r="A8" i="40"/>
  <c r="N65" i="60"/>
  <c r="N74" i="60"/>
  <c r="N75" i="60"/>
  <c r="N68" i="60"/>
  <c r="N70" i="60"/>
  <c r="N71" i="60"/>
  <c r="G75" i="66"/>
  <c r="EC47" i="25"/>
  <c r="E47" i="25"/>
  <c r="E42" i="25"/>
  <c r="J65" i="61"/>
  <c r="J68" i="61"/>
  <c r="J70" i="61"/>
  <c r="J71" i="61"/>
  <c r="J74" i="61"/>
  <c r="J75" i="61"/>
  <c r="S64" i="61"/>
  <c r="S65" i="61"/>
  <c r="AD27" i="59"/>
  <c r="AG21" i="59"/>
  <c r="O68" i="59"/>
  <c r="O70" i="59"/>
  <c r="O71" i="59"/>
  <c r="O65" i="59"/>
  <c r="O74" i="59"/>
  <c r="O75" i="59"/>
  <c r="AF33" i="62"/>
  <c r="AF64" i="62"/>
  <c r="AZ45" i="25"/>
  <c r="Z33" i="55"/>
  <c r="AG23" i="58"/>
  <c r="L65" i="66"/>
  <c r="L68" i="66"/>
  <c r="L70" i="66"/>
  <c r="L71" i="66"/>
  <c r="L74" i="66"/>
  <c r="L75" i="66"/>
  <c r="S64" i="66"/>
  <c r="S65" i="66"/>
  <c r="P64" i="59"/>
  <c r="P33" i="59"/>
  <c r="N68" i="57"/>
  <c r="N65" i="57"/>
  <c r="N74" i="57"/>
  <c r="N75" i="57"/>
  <c r="Z61" i="62"/>
  <c r="Z64" i="62"/>
  <c r="AG27" i="62"/>
  <c r="AG33" i="62"/>
  <c r="Z33" i="62"/>
  <c r="D74" i="69"/>
  <c r="D75" i="69"/>
  <c r="D65" i="69"/>
  <c r="D68" i="69"/>
  <c r="D70" i="69"/>
  <c r="D71" i="69"/>
  <c r="I71" i="41"/>
  <c r="O74" i="63"/>
  <c r="O75" i="63"/>
  <c r="O68" i="63"/>
  <c r="O70" i="63"/>
  <c r="O71" i="63"/>
  <c r="O65" i="63"/>
  <c r="R65" i="66"/>
  <c r="R68" i="66"/>
  <c r="R70" i="66"/>
  <c r="R71" i="66"/>
  <c r="R74" i="66"/>
  <c r="R75" i="66"/>
  <c r="AB6" i="68"/>
  <c r="U6" i="68"/>
  <c r="M68" i="58"/>
  <c r="M70" i="58"/>
  <c r="M71" i="58"/>
  <c r="M65" i="58"/>
  <c r="M74" i="58"/>
  <c r="M75" i="58"/>
  <c r="N33" i="69"/>
  <c r="N64" i="69"/>
  <c r="S26" i="14"/>
  <c r="S32" i="14"/>
  <c r="AG10" i="55"/>
  <c r="L33" i="68"/>
  <c r="L64" i="68"/>
  <c r="H65" i="74"/>
  <c r="H74" i="74"/>
  <c r="H75" i="74"/>
  <c r="H68" i="74"/>
  <c r="H70" i="74"/>
  <c r="H71" i="74"/>
  <c r="AB33" i="63"/>
  <c r="AG10" i="74"/>
  <c r="X15" i="68"/>
  <c r="X17" i="68"/>
  <c r="X10" i="68"/>
  <c r="AE18" i="74"/>
  <c r="DS45" i="25"/>
  <c r="N65" i="63"/>
  <c r="N68" i="63"/>
  <c r="N70" i="63"/>
  <c r="N71" i="63"/>
  <c r="N74" i="63"/>
  <c r="N75" i="63"/>
  <c r="AG32" i="14"/>
  <c r="P65" i="68"/>
  <c r="P68" i="68"/>
  <c r="P70" i="68"/>
  <c r="P71" i="68"/>
  <c r="P74" i="68"/>
  <c r="P75" i="68"/>
  <c r="AC23" i="74"/>
  <c r="AC29" i="74"/>
  <c r="AH35" i="14"/>
  <c r="I65" i="74"/>
  <c r="I68" i="74"/>
  <c r="I70" i="74"/>
  <c r="I71" i="74"/>
  <c r="I74" i="74"/>
  <c r="I75" i="74"/>
  <c r="AE61" i="59"/>
  <c r="AE64" i="59"/>
  <c r="AG5" i="25"/>
  <c r="AH9" i="14"/>
  <c r="CB43" i="25"/>
  <c r="AL43" i="25"/>
  <c r="V39" i="68"/>
  <c r="AG38" i="68"/>
  <c r="AA65" i="63"/>
  <c r="AA74" i="63"/>
  <c r="AA75" i="63"/>
  <c r="AA68" i="63"/>
  <c r="AA70" i="63"/>
  <c r="AA71" i="63"/>
  <c r="Y61" i="68"/>
  <c r="CK42" i="25"/>
  <c r="CK47" i="25"/>
  <c r="AU42" i="25"/>
  <c r="AU47" i="25"/>
  <c r="EI34" i="40"/>
  <c r="AB25" i="14"/>
  <c r="AB31" i="14"/>
  <c r="AG63" i="55"/>
  <c r="S27" i="51"/>
  <c r="AO51" i="65"/>
  <c r="K33" i="55"/>
  <c r="K65" i="55"/>
  <c r="G68" i="63"/>
  <c r="G74" i="63"/>
  <c r="G65" i="63"/>
  <c r="O74" i="61"/>
  <c r="O75" i="61"/>
  <c r="O65" i="61"/>
  <c r="O68" i="61"/>
  <c r="O70" i="61"/>
  <c r="O71" i="61"/>
  <c r="X65" i="55"/>
  <c r="X68" i="55"/>
  <c r="X70" i="55"/>
  <c r="X71" i="55"/>
  <c r="X74" i="55"/>
  <c r="X75" i="55"/>
  <c r="M74" i="59"/>
  <c r="M75" i="59"/>
  <c r="M65" i="59"/>
  <c r="M68" i="59"/>
  <c r="M70" i="59"/>
  <c r="M71" i="59"/>
  <c r="J70" i="55"/>
  <c r="U33" i="57"/>
  <c r="AG27" i="57"/>
  <c r="AG33" i="57"/>
  <c r="K31" i="14"/>
  <c r="AE19" i="78"/>
  <c r="AC13" i="78"/>
  <c r="S24" i="54"/>
  <c r="H9" i="55"/>
  <c r="AP9" i="41"/>
  <c r="AO9" i="41"/>
  <c r="AG37" i="49"/>
  <c r="AG12" i="51"/>
  <c r="AD5" i="25"/>
  <c r="V61" i="55"/>
  <c r="V61" i="61"/>
  <c r="V64" i="61"/>
  <c r="AE5" i="25"/>
  <c r="BQ5" i="25"/>
  <c r="AK39" i="25"/>
  <c r="AH46" i="14"/>
  <c r="AW28" i="25"/>
  <c r="AW29" i="25"/>
  <c r="AH41" i="14"/>
  <c r="S30" i="79"/>
  <c r="V61" i="66"/>
  <c r="V64" i="66"/>
  <c r="AL5" i="25"/>
  <c r="CB39" i="25"/>
  <c r="AL39" i="25"/>
  <c r="V61" i="62"/>
  <c r="V64" i="62"/>
  <c r="BY11" i="25"/>
  <c r="W74" i="63"/>
  <c r="W75" i="63"/>
  <c r="W68" i="63"/>
  <c r="W70" i="63"/>
  <c r="W71" i="63"/>
  <c r="W65" i="63"/>
  <c r="V68" i="41"/>
  <c r="V71" i="41"/>
  <c r="EB34" i="40"/>
  <c r="W25" i="14"/>
  <c r="W31" i="14"/>
  <c r="AG54" i="60"/>
  <c r="EM8" i="40"/>
  <c r="ED5" i="40"/>
  <c r="Y21" i="69"/>
  <c r="Y27" i="69"/>
  <c r="Y23" i="69"/>
  <c r="Y29" i="69"/>
  <c r="EM18" i="40"/>
  <c r="CF42" i="25"/>
  <c r="CF43" i="25"/>
  <c r="CF47" i="25"/>
  <c r="W61" i="62"/>
  <c r="W64" i="62"/>
  <c r="X25" i="14"/>
  <c r="X31" i="14"/>
  <c r="Y68" i="41"/>
  <c r="V29" i="78"/>
  <c r="W30" i="80"/>
  <c r="Z61" i="68"/>
  <c r="AA16" i="74"/>
  <c r="AA18" i="74"/>
  <c r="EG5" i="40"/>
  <c r="AA61" i="57"/>
  <c r="AA64" i="57"/>
  <c r="AB61" i="57"/>
  <c r="AB64" i="57"/>
  <c r="AB16" i="74"/>
  <c r="AB18" i="74"/>
  <c r="Q11" i="53"/>
  <c r="S11" i="53"/>
  <c r="AI11" i="53"/>
  <c r="S15" i="53"/>
  <c r="AI15" i="53"/>
  <c r="AD65" i="61"/>
  <c r="AD68" i="61"/>
  <c r="AD70" i="61"/>
  <c r="AD71" i="61"/>
  <c r="AD74" i="61"/>
  <c r="AD75" i="61"/>
  <c r="AA61" i="68"/>
  <c r="EH34" i="40"/>
  <c r="AC25" i="14"/>
  <c r="AC31" i="14"/>
  <c r="EJ34" i="40"/>
  <c r="AE21" i="69"/>
  <c r="AE27" i="69"/>
  <c r="AE23" i="69"/>
  <c r="AE29" i="69"/>
  <c r="CL42" i="25"/>
  <c r="CL47" i="25"/>
  <c r="AV42" i="25"/>
  <c r="AV47" i="25"/>
  <c r="AE61" i="61"/>
  <c r="AE64" i="61"/>
  <c r="D47" i="25"/>
  <c r="D45" i="25"/>
  <c r="DO45" i="25"/>
  <c r="BX42" i="25"/>
  <c r="BX47" i="25"/>
  <c r="CZ45" i="25"/>
  <c r="AO44" i="65"/>
  <c r="AF27" i="69"/>
  <c r="D33" i="55"/>
  <c r="D65" i="55"/>
  <c r="H68" i="59"/>
  <c r="H70" i="59"/>
  <c r="H71" i="59"/>
  <c r="H74" i="59"/>
  <c r="H75" i="59"/>
  <c r="H65" i="59"/>
  <c r="AD33" i="58"/>
  <c r="AB33" i="62"/>
  <c r="G70" i="60"/>
  <c r="S21" i="63"/>
  <c r="P27" i="63"/>
  <c r="AD33" i="57"/>
  <c r="AE5" i="40"/>
  <c r="H70" i="58"/>
  <c r="Q74" i="58"/>
  <c r="Q75" i="58"/>
  <c r="Q65" i="58"/>
  <c r="Q68" i="58"/>
  <c r="Q70" i="58"/>
  <c r="Q71" i="58"/>
  <c r="G75" i="61"/>
  <c r="K71" i="55"/>
  <c r="AC33" i="58"/>
  <c r="AE33" i="58"/>
  <c r="Q68" i="61"/>
  <c r="Q70" i="61"/>
  <c r="Q71" i="61"/>
  <c r="Q74" i="61"/>
  <c r="Q75" i="61"/>
  <c r="Q65" i="61"/>
  <c r="Q68" i="55"/>
  <c r="Q70" i="55"/>
  <c r="Q71" i="55"/>
  <c r="Q65" i="55"/>
  <c r="Q74" i="55"/>
  <c r="Q75" i="55"/>
  <c r="AG10" i="69"/>
  <c r="N74" i="59"/>
  <c r="N75" i="59"/>
  <c r="N65" i="59"/>
  <c r="N68" i="59"/>
  <c r="N70" i="59"/>
  <c r="N71" i="59"/>
  <c r="N74" i="66"/>
  <c r="N75" i="66"/>
  <c r="N65" i="66"/>
  <c r="N68" i="66"/>
  <c r="N70" i="66"/>
  <c r="N71" i="66"/>
  <c r="M68" i="60"/>
  <c r="M70" i="60"/>
  <c r="M71" i="60"/>
  <c r="M65" i="60"/>
  <c r="M74" i="60"/>
  <c r="M75" i="60"/>
  <c r="S64" i="60"/>
  <c r="S65" i="60"/>
  <c r="C48" i="25"/>
  <c r="C46" i="25"/>
  <c r="N64" i="55"/>
  <c r="N33" i="55"/>
  <c r="EC5" i="25"/>
  <c r="Q65" i="66"/>
  <c r="Q74" i="66"/>
  <c r="Q75" i="66"/>
  <c r="Q68" i="66"/>
  <c r="Q70" i="66"/>
  <c r="Q71" i="66"/>
  <c r="I75" i="57"/>
  <c r="AD6" i="68"/>
  <c r="N74" i="58"/>
  <c r="N75" i="58"/>
  <c r="N65" i="58"/>
  <c r="N68" i="58"/>
  <c r="N70" i="58"/>
  <c r="N71" i="58"/>
  <c r="G68" i="68"/>
  <c r="G74" i="68"/>
  <c r="G65" i="68"/>
  <c r="AG21" i="66"/>
  <c r="AE33" i="59"/>
  <c r="Q65" i="74"/>
  <c r="Q74" i="74"/>
  <c r="Q75" i="74"/>
  <c r="Q68" i="74"/>
  <c r="Q70" i="74"/>
  <c r="Q71" i="74"/>
  <c r="AF15" i="68"/>
  <c r="AF10" i="68"/>
  <c r="AF17" i="68"/>
  <c r="I74" i="68"/>
  <c r="I75" i="68"/>
  <c r="I65" i="68"/>
  <c r="I68" i="68"/>
  <c r="I70" i="68"/>
  <c r="I71" i="68"/>
  <c r="AG21" i="58"/>
  <c r="AA33" i="61"/>
  <c r="AA64" i="61"/>
  <c r="AG21" i="55"/>
  <c r="N22" i="14"/>
  <c r="N28" i="14"/>
  <c r="CA43" i="25"/>
  <c r="U39" i="69"/>
  <c r="AG39" i="69"/>
  <c r="AG38" i="69"/>
  <c r="Y5" i="25"/>
  <c r="AG38" i="61"/>
  <c r="U39" i="61"/>
  <c r="CB42" i="25"/>
  <c r="CB47" i="25"/>
  <c r="AL42" i="25"/>
  <c r="AL47" i="25"/>
  <c r="AG60" i="60"/>
  <c r="Z61" i="55"/>
  <c r="Z64" i="55"/>
  <c r="CQ47" i="25"/>
  <c r="DA42" i="25"/>
  <c r="X61" i="63"/>
  <c r="X64" i="63"/>
  <c r="AA16" i="69"/>
  <c r="AA18" i="69"/>
  <c r="BS43" i="25"/>
  <c r="CI42" i="25"/>
  <c r="CI47" i="25"/>
  <c r="AS42" i="25"/>
  <c r="AS47" i="25"/>
  <c r="AE68" i="63"/>
  <c r="AE70" i="63"/>
  <c r="AE71" i="63"/>
  <c r="AE65" i="63"/>
  <c r="AE74" i="63"/>
  <c r="AE75" i="63"/>
  <c r="AG15" i="69"/>
  <c r="DQ45" i="25"/>
  <c r="D64" i="68"/>
  <c r="D33" i="68"/>
  <c r="H75" i="58"/>
  <c r="O74" i="66"/>
  <c r="O75" i="66"/>
  <c r="O68" i="66"/>
  <c r="O70" i="66"/>
  <c r="O71" i="66"/>
  <c r="O65" i="66"/>
  <c r="BK45" i="25"/>
  <c r="O74" i="55"/>
  <c r="O75" i="55"/>
  <c r="O68" i="55"/>
  <c r="O70" i="55"/>
  <c r="O71" i="55"/>
  <c r="O65" i="55"/>
  <c r="Q74" i="63"/>
  <c r="Q75" i="63"/>
  <c r="Q65" i="63"/>
  <c r="Q68" i="63"/>
  <c r="Q70" i="63"/>
  <c r="Q71" i="63"/>
  <c r="Q65" i="62"/>
  <c r="Q68" i="62"/>
  <c r="Q70" i="62"/>
  <c r="Q71" i="62"/>
  <c r="Q74" i="62"/>
  <c r="Q75" i="62"/>
  <c r="AI47" i="25"/>
  <c r="AD74" i="63"/>
  <c r="AD75" i="63"/>
  <c r="AD68" i="63"/>
  <c r="AD70" i="63"/>
  <c r="AD71" i="63"/>
  <c r="AD65" i="63"/>
  <c r="W6" i="68"/>
  <c r="V33" i="55"/>
  <c r="AF23" i="74"/>
  <c r="AF29" i="74"/>
  <c r="AF21" i="74"/>
  <c r="AF27" i="74"/>
  <c r="EM31" i="40"/>
  <c r="AE33" i="57"/>
  <c r="AG17" i="74"/>
  <c r="CM7" i="25"/>
  <c r="U61" i="69"/>
  <c r="AG61" i="69"/>
  <c r="AG56" i="69"/>
  <c r="U68" i="41"/>
  <c r="AG17" i="49"/>
  <c r="AG15" i="49"/>
  <c r="AG27" i="49"/>
  <c r="Z5" i="25"/>
  <c r="J33" i="74"/>
  <c r="J64" i="74"/>
  <c r="AF5" i="25"/>
  <c r="AC5" i="25"/>
  <c r="AG16" i="51"/>
  <c r="CO45" i="25"/>
  <c r="Q23" i="68"/>
  <c r="S23" i="68"/>
  <c r="Q10" i="68"/>
  <c r="Q27" i="68"/>
  <c r="EQ15" i="25"/>
  <c r="BY15" i="25"/>
  <c r="B15" i="25"/>
  <c r="A15" i="25"/>
  <c r="AW17" i="25"/>
  <c r="U65" i="41"/>
  <c r="U70" i="41"/>
  <c r="H10" i="68"/>
  <c r="S6" i="68"/>
  <c r="S29" i="68"/>
  <c r="H29" i="68"/>
  <c r="BM42" i="25"/>
  <c r="BY26" i="25"/>
  <c r="AG56" i="63"/>
  <c r="EM14" i="40"/>
  <c r="AV5" i="25"/>
  <c r="AA5" i="25"/>
  <c r="Q22" i="14"/>
  <c r="Q28" i="14"/>
  <c r="CM29" i="25"/>
  <c r="AH43" i="14"/>
  <c r="V61" i="57"/>
  <c r="V64" i="57"/>
  <c r="AW16" i="25"/>
  <c r="CP45" i="25"/>
  <c r="AN5" i="25"/>
  <c r="AN39" i="25"/>
  <c r="X61" i="62"/>
  <c r="X64" i="62"/>
  <c r="DG45" i="25"/>
  <c r="V65" i="41"/>
  <c r="CQ45" i="25"/>
  <c r="CE42" i="25"/>
  <c r="CE47" i="25"/>
  <c r="Z16" i="69"/>
  <c r="Z18" i="69"/>
  <c r="AP43" i="25"/>
  <c r="AP47" i="25"/>
  <c r="W16" i="74"/>
  <c r="W18" i="74"/>
  <c r="V30" i="80"/>
  <c r="C35" i="25"/>
  <c r="EE5" i="40"/>
  <c r="BS42" i="25"/>
  <c r="BS47" i="25"/>
  <c r="AA61" i="62"/>
  <c r="AA64" i="62"/>
  <c r="CT45" i="25"/>
  <c r="CJ42" i="25"/>
  <c r="CJ47" i="25"/>
  <c r="AT42" i="25"/>
  <c r="AT47" i="25"/>
  <c r="CX45" i="25"/>
  <c r="AG17" i="53"/>
  <c r="S17" i="53"/>
  <c r="AI17" i="53"/>
  <c r="AC21" i="69"/>
  <c r="AC27" i="69"/>
  <c r="AC23" i="69"/>
  <c r="AC29" i="69"/>
  <c r="BW42" i="25"/>
  <c r="BW47" i="25"/>
  <c r="DM45" i="25"/>
  <c r="J10" i="68"/>
  <c r="J27" i="68"/>
  <c r="J29" i="68"/>
  <c r="AE68" i="41"/>
  <c r="AB61" i="68"/>
  <c r="AD25" i="14"/>
  <c r="AD31" i="14"/>
  <c r="AD61" i="57"/>
  <c r="AD64" i="57"/>
  <c r="AD65" i="62"/>
  <c r="AD74" i="62"/>
  <c r="AD75" i="62"/>
  <c r="AD68" i="62"/>
  <c r="AD70" i="62"/>
  <c r="AD71" i="62"/>
  <c r="AD61" i="68"/>
  <c r="DX5" i="25"/>
  <c r="AO53" i="65"/>
  <c r="R64" i="68"/>
  <c r="R33" i="68"/>
  <c r="Q64" i="59"/>
  <c r="Q33" i="59"/>
  <c r="G65" i="62"/>
  <c r="G68" i="62"/>
  <c r="S64" i="62"/>
  <c r="S65" i="62"/>
  <c r="G74" i="62"/>
  <c r="N68" i="62"/>
  <c r="N70" i="62"/>
  <c r="N71" i="62"/>
  <c r="N74" i="62"/>
  <c r="N75" i="62"/>
  <c r="N65" i="62"/>
  <c r="E74" i="68"/>
  <c r="E75" i="68"/>
  <c r="E68" i="68"/>
  <c r="E70" i="68"/>
  <c r="E71" i="68"/>
  <c r="E65" i="68"/>
  <c r="AC33" i="61"/>
  <c r="AC64" i="61"/>
  <c r="D75" i="55"/>
  <c r="I74" i="63"/>
  <c r="I75" i="63"/>
  <c r="I65" i="63"/>
  <c r="I68" i="63"/>
  <c r="I70" i="63"/>
  <c r="I71" i="63"/>
  <c r="G74" i="59"/>
  <c r="G65" i="59"/>
  <c r="S64" i="59"/>
  <c r="S65" i="59"/>
  <c r="G68" i="59"/>
  <c r="P64" i="58"/>
  <c r="S64" i="58"/>
  <c r="S65" i="58"/>
  <c r="P33" i="58"/>
  <c r="G70" i="61"/>
  <c r="O65" i="62"/>
  <c r="O74" i="62"/>
  <c r="O75" i="62"/>
  <c r="O68" i="62"/>
  <c r="O70" i="62"/>
  <c r="O71" i="62"/>
  <c r="K75" i="55"/>
  <c r="AF33" i="66"/>
  <c r="EC34" i="40"/>
  <c r="S27" i="59"/>
  <c r="S33" i="59"/>
  <c r="J75" i="55"/>
  <c r="M65" i="62"/>
  <c r="M68" i="62"/>
  <c r="M70" i="62"/>
  <c r="M71" i="62"/>
  <c r="M74" i="62"/>
  <c r="M75" i="62"/>
  <c r="X33" i="63"/>
  <c r="AG27" i="63"/>
  <c r="AG33" i="63"/>
  <c r="H71" i="41"/>
  <c r="AE27" i="55"/>
  <c r="A5" i="40"/>
  <c r="S64" i="57"/>
  <c r="S65" i="57"/>
  <c r="AA6" i="68"/>
  <c r="S27" i="58"/>
  <c r="S33" i="58"/>
  <c r="M74" i="74"/>
  <c r="M75" i="74"/>
  <c r="M68" i="74"/>
  <c r="M70" i="74"/>
  <c r="M71" i="74"/>
  <c r="M65" i="74"/>
  <c r="V33" i="66"/>
  <c r="AG27" i="66"/>
  <c r="AG33" i="66"/>
  <c r="G64" i="74"/>
  <c r="G33" i="74"/>
  <c r="S27" i="74"/>
  <c r="S33" i="74"/>
  <c r="AE61" i="68"/>
  <c r="S23" i="69"/>
  <c r="S29" i="69"/>
  <c r="U33" i="58"/>
  <c r="AG27" i="58"/>
  <c r="AG33" i="58"/>
  <c r="R64" i="55"/>
  <c r="R33" i="55"/>
  <c r="AC27" i="74"/>
  <c r="P64" i="69"/>
  <c r="P33" i="69"/>
  <c r="AA65" i="57"/>
  <c r="AA68" i="57"/>
  <c r="AA74" i="57"/>
  <c r="AA75" i="57"/>
  <c r="CH5" i="25"/>
  <c r="AE65" i="59"/>
  <c r="AE74" i="59"/>
  <c r="AE75" i="59"/>
  <c r="AE68" i="59"/>
  <c r="AE70" i="59"/>
  <c r="AE71" i="59"/>
  <c r="V16" i="68"/>
  <c r="AD68" i="57"/>
  <c r="AD65" i="57"/>
  <c r="AD74" i="57"/>
  <c r="AD75" i="57"/>
  <c r="CM11" i="25"/>
  <c r="B11" i="25"/>
  <c r="A11" i="25"/>
  <c r="AD33" i="69"/>
  <c r="AD64" i="69"/>
  <c r="AH60" i="14"/>
  <c r="V65" i="66"/>
  <c r="V68" i="66"/>
  <c r="V70" i="66"/>
  <c r="V71" i="66"/>
  <c r="V74" i="66"/>
  <c r="V75" i="66"/>
  <c r="X65" i="63"/>
  <c r="X74" i="63"/>
  <c r="X75" i="63"/>
  <c r="X68" i="63"/>
  <c r="X70" i="63"/>
  <c r="X71" i="63"/>
  <c r="Z74" i="55"/>
  <c r="Z75" i="55"/>
  <c r="Z65" i="55"/>
  <c r="Z68" i="55"/>
  <c r="Z70" i="55"/>
  <c r="Z71" i="55"/>
  <c r="AB68" i="57"/>
  <c r="AB74" i="57"/>
  <c r="AB75" i="57"/>
  <c r="AB65" i="57"/>
  <c r="AA61" i="66"/>
  <c r="AA64" i="66"/>
  <c r="Z61" i="57"/>
  <c r="Z64" i="57"/>
  <c r="EQ7" i="25"/>
  <c r="V68" i="57"/>
  <c r="V74" i="57"/>
  <c r="V75" i="57"/>
  <c r="V65" i="57"/>
  <c r="Z45" i="25"/>
  <c r="AA21" i="74"/>
  <c r="AA27" i="74"/>
  <c r="AA23" i="74"/>
  <c r="AA29" i="74"/>
  <c r="Y33" i="69"/>
  <c r="Y64" i="69"/>
  <c r="ED34" i="40"/>
  <c r="CD5" i="25"/>
  <c r="V74" i="61"/>
  <c r="V75" i="61"/>
  <c r="V68" i="61"/>
  <c r="V70" i="61"/>
  <c r="V71" i="61"/>
  <c r="V65" i="61"/>
  <c r="AQ5" i="25"/>
  <c r="AB10" i="68"/>
  <c r="AB17" i="68"/>
  <c r="AB15" i="68"/>
  <c r="Z68" i="62"/>
  <c r="Z70" i="62"/>
  <c r="Z71" i="62"/>
  <c r="Z74" i="62"/>
  <c r="Z75" i="62"/>
  <c r="Z65" i="62"/>
  <c r="Y61" i="55"/>
  <c r="EE34" i="40"/>
  <c r="BY16" i="25"/>
  <c r="CM16" i="25"/>
  <c r="B16" i="25"/>
  <c r="A16" i="25"/>
  <c r="AO56" i="65"/>
  <c r="W16" i="68"/>
  <c r="AC74" i="61"/>
  <c r="AC75" i="61"/>
  <c r="AC68" i="61"/>
  <c r="AC70" i="61"/>
  <c r="AC71" i="61"/>
  <c r="AC65" i="61"/>
  <c r="BX5" i="25"/>
  <c r="AE39" i="60"/>
  <c r="AT5" i="25"/>
  <c r="BT5" i="25"/>
  <c r="AA16" i="68"/>
  <c r="Z21" i="69"/>
  <c r="Z27" i="69"/>
  <c r="Z23" i="69"/>
  <c r="Z29" i="69"/>
  <c r="CD39" i="25"/>
  <c r="X16" i="74"/>
  <c r="X18" i="74"/>
  <c r="BN42" i="25"/>
  <c r="BN47" i="25"/>
  <c r="AA45" i="25"/>
  <c r="AG14" i="49"/>
  <c r="DA47" i="25"/>
  <c r="C42" i="25"/>
  <c r="BY7" i="25"/>
  <c r="Y45" i="25"/>
  <c r="S22" i="14"/>
  <c r="S28" i="14"/>
  <c r="G75" i="68"/>
  <c r="S74" i="57"/>
  <c r="S75" i="57"/>
  <c r="N65" i="55"/>
  <c r="N68" i="55"/>
  <c r="N74" i="55"/>
  <c r="S64" i="55"/>
  <c r="P33" i="63"/>
  <c r="P64" i="63"/>
  <c r="S27" i="63"/>
  <c r="S33" i="63"/>
  <c r="S68" i="60"/>
  <c r="AF61" i="57"/>
  <c r="AF64" i="57"/>
  <c r="AE48" i="55"/>
  <c r="AE11" i="53"/>
  <c r="AG11" i="53"/>
  <c r="AG15" i="53"/>
  <c r="AP5" i="25"/>
  <c r="Y71" i="41"/>
  <c r="B34" i="25"/>
  <c r="A34" i="25"/>
  <c r="AG38" i="60"/>
  <c r="V39" i="60"/>
  <c r="AN52" i="65"/>
  <c r="BY10" i="25"/>
  <c r="EQ8" i="25"/>
  <c r="CA42" i="25"/>
  <c r="U25" i="14"/>
  <c r="BY9" i="25"/>
  <c r="W24" i="14"/>
  <c r="W30" i="14"/>
  <c r="J71" i="55"/>
  <c r="G75" i="63"/>
  <c r="BW5" i="25"/>
  <c r="AW43" i="25"/>
  <c r="X24" i="14"/>
  <c r="X30" i="14"/>
  <c r="Z24" i="14"/>
  <c r="Z30" i="14"/>
  <c r="V24" i="14"/>
  <c r="V30" i="14"/>
  <c r="AD33" i="59"/>
  <c r="AG27" i="59"/>
  <c r="AG33" i="59"/>
  <c r="O68" i="69"/>
  <c r="O70" i="69"/>
  <c r="O71" i="69"/>
  <c r="O65" i="69"/>
  <c r="O74" i="69"/>
  <c r="O75" i="69"/>
  <c r="AP46" i="65"/>
  <c r="AF65" i="61"/>
  <c r="AF68" i="61"/>
  <c r="AF70" i="61"/>
  <c r="AF71" i="61"/>
  <c r="AF74" i="61"/>
  <c r="AF75" i="61"/>
  <c r="CH43" i="25"/>
  <c r="CH47" i="25"/>
  <c r="AB16" i="69"/>
  <c r="AB18" i="69"/>
  <c r="AB16" i="68"/>
  <c r="Y68" i="62"/>
  <c r="Y70" i="62"/>
  <c r="Y71" i="62"/>
  <c r="Y65" i="62"/>
  <c r="Y74" i="62"/>
  <c r="Y75" i="62"/>
  <c r="W39" i="68"/>
  <c r="AO5" i="25"/>
  <c r="X61" i="57"/>
  <c r="X64" i="57"/>
  <c r="U61" i="68"/>
  <c r="AG56" i="68"/>
  <c r="AN55" i="65"/>
  <c r="X45" i="25"/>
  <c r="AK47" i="25"/>
  <c r="AW42" i="25"/>
  <c r="AG39" i="62"/>
  <c r="EQ16" i="25"/>
  <c r="CJ5" i="25"/>
  <c r="H64" i="69"/>
  <c r="H33" i="69"/>
  <c r="S27" i="69"/>
  <c r="S33" i="69"/>
  <c r="S68" i="66"/>
  <c r="AS5" i="25"/>
  <c r="Y48" i="55"/>
  <c r="AG56" i="60"/>
  <c r="BP42" i="25"/>
  <c r="AD45" i="25"/>
  <c r="AB61" i="63"/>
  <c r="AB64" i="63"/>
  <c r="U16" i="69"/>
  <c r="B41" i="25"/>
  <c r="A41" i="25"/>
  <c r="AD61" i="58"/>
  <c r="AD64" i="58"/>
  <c r="AB61" i="62"/>
  <c r="AB64" i="62"/>
  <c r="AA17" i="68"/>
  <c r="AA10" i="68"/>
  <c r="AA15" i="68"/>
  <c r="G71" i="61"/>
  <c r="R68" i="61"/>
  <c r="R70" i="61"/>
  <c r="S70" i="61"/>
  <c r="S71" i="61"/>
  <c r="AC61" i="55"/>
  <c r="AC64" i="55"/>
  <c r="AG54" i="57"/>
  <c r="W61" i="66"/>
  <c r="W64" i="66"/>
  <c r="Q64" i="68"/>
  <c r="Q33" i="68"/>
  <c r="AF64" i="74"/>
  <c r="AF33" i="74"/>
  <c r="AF64" i="69"/>
  <c r="AF33" i="69"/>
  <c r="V74" i="62"/>
  <c r="V75" i="62"/>
  <c r="V68" i="62"/>
  <c r="V70" i="62"/>
  <c r="V71" i="62"/>
  <c r="V65" i="62"/>
  <c r="AF45" i="25"/>
  <c r="AN9" i="65"/>
  <c r="U10" i="68"/>
  <c r="U15" i="68"/>
  <c r="AG6" i="68"/>
  <c r="U17" i="68"/>
  <c r="CD47" i="25"/>
  <c r="BY13" i="25"/>
  <c r="AF74" i="63"/>
  <c r="AF75" i="63"/>
  <c r="AF65" i="63"/>
  <c r="AF68" i="63"/>
  <c r="AF70" i="63"/>
  <c r="AF71" i="63"/>
  <c r="BY29" i="25"/>
  <c r="AG29" i="51"/>
  <c r="EQ29" i="25"/>
  <c r="F30" i="65"/>
  <c r="F36" i="65"/>
  <c r="AE33" i="55"/>
  <c r="G75" i="62"/>
  <c r="S74" i="62"/>
  <c r="S75" i="62"/>
  <c r="P74" i="69"/>
  <c r="P75" i="69"/>
  <c r="P68" i="69"/>
  <c r="P70" i="69"/>
  <c r="P71" i="69"/>
  <c r="P65" i="69"/>
  <c r="AC33" i="74"/>
  <c r="AC64" i="74"/>
  <c r="P68" i="58"/>
  <c r="P74" i="58"/>
  <c r="P65" i="58"/>
  <c r="G75" i="59"/>
  <c r="Q65" i="59"/>
  <c r="Q74" i="59"/>
  <c r="Q75" i="59"/>
  <c r="Q68" i="59"/>
  <c r="Q70" i="59"/>
  <c r="Q71" i="59"/>
  <c r="DX45" i="25"/>
  <c r="AB61" i="66"/>
  <c r="AB64" i="66"/>
  <c r="J64" i="68"/>
  <c r="J33" i="68"/>
  <c r="AA68" i="62"/>
  <c r="AA70" i="62"/>
  <c r="AA71" i="62"/>
  <c r="AA74" i="62"/>
  <c r="AA75" i="62"/>
  <c r="AA65" i="62"/>
  <c r="Z61" i="66"/>
  <c r="Z64" i="66"/>
  <c r="X61" i="59"/>
  <c r="X64" i="59"/>
  <c r="X61" i="66"/>
  <c r="X64" i="66"/>
  <c r="AM5" i="25"/>
  <c r="AH45" i="25"/>
  <c r="BM47" i="25"/>
  <c r="BY42" i="25"/>
  <c r="H27" i="68"/>
  <c r="T17" i="68"/>
  <c r="T16" i="68"/>
  <c r="S10" i="68"/>
  <c r="T15" i="68"/>
  <c r="B40" i="25"/>
  <c r="A40" i="25"/>
  <c r="AI5" i="25"/>
  <c r="J65" i="74"/>
  <c r="J68" i="74"/>
  <c r="J70" i="74"/>
  <c r="J71" i="74"/>
  <c r="J74" i="74"/>
  <c r="J75" i="74"/>
  <c r="Z61" i="58"/>
  <c r="Z64" i="58"/>
  <c r="AG27" i="55"/>
  <c r="AG33" i="55"/>
  <c r="AG63" i="68"/>
  <c r="W61" i="68"/>
  <c r="AG54" i="68"/>
  <c r="B35" i="25"/>
  <c r="A35" i="25"/>
  <c r="AG39" i="61"/>
  <c r="G70" i="68"/>
  <c r="H71" i="58"/>
  <c r="G71" i="60"/>
  <c r="S70" i="60"/>
  <c r="S71" i="60"/>
  <c r="AE68" i="61"/>
  <c r="AE70" i="61"/>
  <c r="AE71" i="61"/>
  <c r="AE65" i="61"/>
  <c r="AE74" i="61"/>
  <c r="AE75" i="61"/>
  <c r="Y39" i="60"/>
  <c r="W74" i="62"/>
  <c r="W75" i="62"/>
  <c r="W65" i="62"/>
  <c r="W68" i="62"/>
  <c r="W70" i="62"/>
  <c r="W71" i="62"/>
  <c r="AG63" i="60"/>
  <c r="AE24" i="14"/>
  <c r="AE30" i="14"/>
  <c r="AN57" i="65"/>
  <c r="AE45" i="25"/>
  <c r="CM26" i="25"/>
  <c r="G70" i="63"/>
  <c r="AP51" i="65"/>
  <c r="BV5" i="25"/>
  <c r="AB61" i="58"/>
  <c r="AB64" i="58"/>
  <c r="AN45" i="65"/>
  <c r="DR45" i="25"/>
  <c r="S68" i="57"/>
  <c r="S74" i="66"/>
  <c r="S75" i="66"/>
  <c r="R74" i="61"/>
  <c r="R65" i="61"/>
  <c r="R71" i="61"/>
  <c r="AP47" i="65"/>
  <c r="C31" i="25"/>
  <c r="AU5" i="25"/>
  <c r="AD61" i="59"/>
  <c r="AD64" i="59"/>
  <c r="CF5" i="25"/>
  <c r="W61" i="59"/>
  <c r="W64" i="59"/>
  <c r="BP5" i="25"/>
  <c r="CM10" i="25"/>
  <c r="B10" i="25"/>
  <c r="A10" i="25"/>
  <c r="AD24" i="14"/>
  <c r="AD30" i="14"/>
  <c r="CI5" i="25"/>
  <c r="AB45" i="25"/>
  <c r="B26" i="25"/>
  <c r="A26" i="25"/>
  <c r="AW13" i="25"/>
  <c r="AR69" i="65"/>
  <c r="V15" i="68"/>
  <c r="V17" i="68"/>
  <c r="V18" i="68"/>
  <c r="V21" i="68"/>
  <c r="V10" i="68"/>
  <c r="V27" i="68"/>
  <c r="G71" i="66"/>
  <c r="S70" i="66"/>
  <c r="S71" i="66"/>
  <c r="W64" i="69"/>
  <c r="W33" i="69"/>
  <c r="AC45" i="25"/>
  <c r="AD65" i="74"/>
  <c r="AD68" i="74"/>
  <c r="AD70" i="74"/>
  <c r="AD71" i="74"/>
  <c r="AD74" i="74"/>
  <c r="AD75" i="74"/>
  <c r="Y61" i="66"/>
  <c r="Y64" i="66"/>
  <c r="R68" i="68"/>
  <c r="R70" i="68"/>
  <c r="R71" i="68"/>
  <c r="R74" i="68"/>
  <c r="R75" i="68"/>
  <c r="R65" i="68"/>
  <c r="V48" i="55"/>
  <c r="V64" i="55"/>
  <c r="U48" i="55"/>
  <c r="AG47" i="55"/>
  <c r="AB24" i="14"/>
  <c r="AB30" i="14"/>
  <c r="AG38" i="74"/>
  <c r="U39" i="74"/>
  <c r="AG39" i="74"/>
  <c r="CM43" i="25"/>
  <c r="AP44" i="65"/>
  <c r="B29" i="25"/>
  <c r="A29" i="25"/>
  <c r="AS45" i="25"/>
  <c r="P65" i="59"/>
  <c r="P68" i="59"/>
  <c r="P70" i="59"/>
  <c r="P71" i="59"/>
  <c r="P74" i="59"/>
  <c r="P75" i="59"/>
  <c r="AF25" i="14"/>
  <c r="AF31" i="14"/>
  <c r="AB61" i="55"/>
  <c r="AB64" i="55"/>
  <c r="Y61" i="59"/>
  <c r="Y64" i="59"/>
  <c r="BY8" i="25"/>
  <c r="B8" i="25"/>
  <c r="A8" i="25"/>
  <c r="AP45" i="25"/>
  <c r="AG56" i="59"/>
  <c r="R68" i="55"/>
  <c r="R70" i="55"/>
  <c r="R71" i="55"/>
  <c r="R65" i="55"/>
  <c r="R74" i="55"/>
  <c r="R75" i="55"/>
  <c r="S64" i="74"/>
  <c r="S65" i="74"/>
  <c r="G74" i="74"/>
  <c r="G65" i="74"/>
  <c r="G68" i="74"/>
  <c r="S68" i="61"/>
  <c r="G70" i="59"/>
  <c r="S68" i="59"/>
  <c r="S68" i="62"/>
  <c r="G70" i="62"/>
  <c r="AP53" i="65"/>
  <c r="AE61" i="66"/>
  <c r="AC64" i="69"/>
  <c r="AC33" i="69"/>
  <c r="AD61" i="66"/>
  <c r="AD64" i="66"/>
  <c r="AR5" i="25"/>
  <c r="CK5" i="25"/>
  <c r="BS5" i="25"/>
  <c r="W21" i="74"/>
  <c r="W27" i="74"/>
  <c r="W23" i="74"/>
  <c r="W29" i="74"/>
  <c r="CM17" i="25"/>
  <c r="B17" i="25"/>
  <c r="A17" i="25"/>
  <c r="X68" i="62"/>
  <c r="X70" i="62"/>
  <c r="X71" i="62"/>
  <c r="X74" i="62"/>
  <c r="X75" i="62"/>
  <c r="X65" i="62"/>
  <c r="W61" i="57"/>
  <c r="W64" i="57"/>
  <c r="BO5" i="25"/>
  <c r="V16" i="74"/>
  <c r="V18" i="74"/>
  <c r="AN54" i="65"/>
  <c r="CM28" i="25"/>
  <c r="B28" i="25"/>
  <c r="A28" i="25"/>
  <c r="CA39" i="25"/>
  <c r="CM39" i="25"/>
  <c r="AO45" i="25"/>
  <c r="AG59" i="63"/>
  <c r="EQ11" i="25"/>
  <c r="Q29" i="68"/>
  <c r="U71" i="41"/>
  <c r="EM5" i="40"/>
  <c r="W10" i="68"/>
  <c r="W17" i="68"/>
  <c r="W15" i="68"/>
  <c r="D74" i="68"/>
  <c r="D75" i="68"/>
  <c r="D65" i="68"/>
  <c r="D68" i="68"/>
  <c r="D70" i="68"/>
  <c r="D71" i="68"/>
  <c r="AC61" i="59"/>
  <c r="AC64" i="59"/>
  <c r="AA21" i="69"/>
  <c r="AA27" i="69"/>
  <c r="AA23" i="69"/>
  <c r="AA29" i="69"/>
  <c r="Z16" i="68"/>
  <c r="Y24" i="14"/>
  <c r="Y30" i="14"/>
  <c r="AA65" i="61"/>
  <c r="AA68" i="61"/>
  <c r="AA70" i="61"/>
  <c r="AA71" i="61"/>
  <c r="AA74" i="61"/>
  <c r="AA75" i="61"/>
  <c r="AD15" i="68"/>
  <c r="AD10" i="68"/>
  <c r="AD17" i="68"/>
  <c r="AE64" i="69"/>
  <c r="AE33" i="69"/>
  <c r="AC61" i="57"/>
  <c r="AC64" i="57"/>
  <c r="S18" i="53"/>
  <c r="AB21" i="74"/>
  <c r="AB27" i="74"/>
  <c r="AB23" i="74"/>
  <c r="AB29" i="74"/>
  <c r="BP43" i="25"/>
  <c r="BY43" i="25"/>
  <c r="X16" i="69"/>
  <c r="X18" i="69"/>
  <c r="Y61" i="57"/>
  <c r="Y64" i="57"/>
  <c r="CE5" i="25"/>
  <c r="EM13" i="40"/>
  <c r="EM34" i="40"/>
  <c r="Y16" i="68"/>
  <c r="Y18" i="68"/>
  <c r="AG58" i="57"/>
  <c r="AW39" i="25"/>
  <c r="B39" i="25"/>
  <c r="A39" i="25"/>
  <c r="AG45" i="25"/>
  <c r="EA34" i="40"/>
  <c r="AG46" i="49"/>
  <c r="S9" i="55"/>
  <c r="H32" i="55"/>
  <c r="H10" i="55"/>
  <c r="AC29" i="78"/>
  <c r="AG39" i="68"/>
  <c r="AE21" i="74"/>
  <c r="AE27" i="74"/>
  <c r="AE23" i="74"/>
  <c r="AE29" i="74"/>
  <c r="L74" i="68"/>
  <c r="L75" i="68"/>
  <c r="L68" i="68"/>
  <c r="L70" i="68"/>
  <c r="L71" i="68"/>
  <c r="L65" i="68"/>
  <c r="N65" i="69"/>
  <c r="N74" i="69"/>
  <c r="N75" i="69"/>
  <c r="N68" i="69"/>
  <c r="N70" i="69"/>
  <c r="N71" i="69"/>
  <c r="AF68" i="62"/>
  <c r="AF70" i="62"/>
  <c r="AF71" i="62"/>
  <c r="AF74" i="62"/>
  <c r="AF75" i="62"/>
  <c r="AF65" i="62"/>
  <c r="AE61" i="57"/>
  <c r="AE64" i="57"/>
  <c r="AG54" i="66"/>
  <c r="Z61" i="59"/>
  <c r="Z64" i="59"/>
  <c r="B7" i="25"/>
  <c r="A7" i="25"/>
  <c r="EQ28" i="25"/>
  <c r="Z16" i="74"/>
  <c r="Z18" i="74"/>
  <c r="BR47" i="25"/>
  <c r="AG51" i="59"/>
  <c r="V61" i="59"/>
  <c r="V64" i="59"/>
  <c r="AN47" i="25"/>
  <c r="AN45" i="25"/>
  <c r="AW12" i="25"/>
  <c r="BY12" i="25"/>
  <c r="S13" i="78"/>
  <c r="AE4" i="78"/>
  <c r="AK5" i="25"/>
  <c r="CM9" i="25"/>
  <c r="Z18" i="68"/>
  <c r="S74" i="60"/>
  <c r="S75" i="60"/>
  <c r="Y65" i="41"/>
  <c r="Z25" i="14"/>
  <c r="Z31" i="14"/>
  <c r="Y21" i="74"/>
  <c r="Y27" i="74"/>
  <c r="Y23" i="74"/>
  <c r="Y29" i="74"/>
  <c r="CA5" i="25"/>
  <c r="AF24" i="14"/>
  <c r="AF30" i="14"/>
  <c r="AC24" i="14"/>
  <c r="AC30" i="14"/>
  <c r="AG27" i="51"/>
  <c r="CC5" i="25"/>
  <c r="EG34" i="40"/>
  <c r="Z61" i="63"/>
  <c r="Z64" i="63"/>
  <c r="EO45" i="25"/>
  <c r="AD68" i="59"/>
  <c r="AD70" i="59"/>
  <c r="AD71" i="59"/>
  <c r="AD74" i="59"/>
  <c r="AD75" i="59"/>
  <c r="AD65" i="59"/>
  <c r="BS45" i="25"/>
  <c r="Y65" i="59"/>
  <c r="Y74" i="59"/>
  <c r="Y75" i="59"/>
  <c r="Y68" i="59"/>
  <c r="Y70" i="59"/>
  <c r="Y71" i="59"/>
  <c r="CD45" i="25"/>
  <c r="X65" i="66"/>
  <c r="X68" i="66"/>
  <c r="X70" i="66"/>
  <c r="X71" i="66"/>
  <c r="X74" i="66"/>
  <c r="X75" i="66"/>
  <c r="AD16" i="68"/>
  <c r="Z65" i="59"/>
  <c r="Z74" i="59"/>
  <c r="Z75" i="59"/>
  <c r="Z68" i="59"/>
  <c r="Z70" i="59"/>
  <c r="Z71" i="59"/>
  <c r="AA61" i="55"/>
  <c r="AA64" i="55"/>
  <c r="V23" i="74"/>
  <c r="V29" i="74"/>
  <c r="V21" i="74"/>
  <c r="V27" i="74"/>
  <c r="AE64" i="66"/>
  <c r="S70" i="62"/>
  <c r="S71" i="62"/>
  <c r="G71" i="62"/>
  <c r="EI5" i="25"/>
  <c r="CB5" i="25"/>
  <c r="BU45" i="25"/>
  <c r="BY47" i="25"/>
  <c r="Z65" i="66"/>
  <c r="Z68" i="66"/>
  <c r="Z70" i="66"/>
  <c r="Z71" i="66"/>
  <c r="Z74" i="66"/>
  <c r="Z75" i="66"/>
  <c r="AG15" i="68"/>
  <c r="AB68" i="63"/>
  <c r="AB70" i="63"/>
  <c r="AB71" i="63"/>
  <c r="AB74" i="63"/>
  <c r="AB75" i="63"/>
  <c r="AB65" i="63"/>
  <c r="AQ46" i="65"/>
  <c r="B9" i="25"/>
  <c r="A9" i="25"/>
  <c r="S10" i="55"/>
  <c r="S65" i="55"/>
  <c r="CL45" i="25"/>
  <c r="EQ9" i="25"/>
  <c r="AF61" i="59"/>
  <c r="AF64" i="59"/>
  <c r="AA68" i="66"/>
  <c r="AA70" i="66"/>
  <c r="AA71" i="66"/>
  <c r="AA65" i="66"/>
  <c r="AA74" i="66"/>
  <c r="AA75" i="66"/>
  <c r="V65" i="59"/>
  <c r="V68" i="59"/>
  <c r="V70" i="59"/>
  <c r="V71" i="59"/>
  <c r="V74" i="59"/>
  <c r="V75" i="59"/>
  <c r="Z21" i="74"/>
  <c r="Z27" i="74"/>
  <c r="Z23" i="74"/>
  <c r="Z29" i="74"/>
  <c r="AE65" i="57"/>
  <c r="AE74" i="57"/>
  <c r="AE75" i="57"/>
  <c r="AE68" i="57"/>
  <c r="AE64" i="74"/>
  <c r="AE33" i="74"/>
  <c r="S33" i="55"/>
  <c r="H33" i="55"/>
  <c r="H65" i="55"/>
  <c r="H71" i="55"/>
  <c r="H75" i="55"/>
  <c r="AU45" i="25"/>
  <c r="AT45" i="25"/>
  <c r="X21" i="69"/>
  <c r="X27" i="69"/>
  <c r="X23" i="69"/>
  <c r="X29" i="69"/>
  <c r="AB33" i="74"/>
  <c r="AB64" i="74"/>
  <c r="AA64" i="69"/>
  <c r="AA33" i="69"/>
  <c r="AV45" i="25"/>
  <c r="S68" i="74"/>
  <c r="G70" i="74"/>
  <c r="AB68" i="55"/>
  <c r="AB70" i="55"/>
  <c r="AB71" i="55"/>
  <c r="AB74" i="55"/>
  <c r="AB75" i="55"/>
  <c r="AB65" i="55"/>
  <c r="X61" i="58"/>
  <c r="X64" i="58"/>
  <c r="Y74" i="66"/>
  <c r="Y75" i="66"/>
  <c r="Y65" i="66"/>
  <c r="Y68" i="66"/>
  <c r="Y70" i="66"/>
  <c r="Y71" i="66"/>
  <c r="AQ45" i="25"/>
  <c r="R75" i="61"/>
  <c r="S74" i="61"/>
  <c r="S75" i="61"/>
  <c r="AO57" i="65"/>
  <c r="Z65" i="58"/>
  <c r="Z74" i="58"/>
  <c r="Z75" i="58"/>
  <c r="Z68" i="58"/>
  <c r="Z70" i="58"/>
  <c r="Z71" i="58"/>
  <c r="CM12" i="25"/>
  <c r="B12" i="25"/>
  <c r="A12" i="25"/>
  <c r="AG17" i="68"/>
  <c r="AG10" i="68"/>
  <c r="AF74" i="74"/>
  <c r="AF75" i="74"/>
  <c r="AF65" i="74"/>
  <c r="AF68" i="74"/>
  <c r="AF70" i="74"/>
  <c r="AF71" i="74"/>
  <c r="AG63" i="57"/>
  <c r="AC74" i="55"/>
  <c r="AC75" i="55"/>
  <c r="AC68" i="55"/>
  <c r="AC70" i="55"/>
  <c r="AC71" i="55"/>
  <c r="AC65" i="55"/>
  <c r="AF16" i="68"/>
  <c r="AF18" i="68"/>
  <c r="AA18" i="68"/>
  <c r="BT45" i="25"/>
  <c r="Y64" i="55"/>
  <c r="E38" i="25"/>
  <c r="E31" i="25"/>
  <c r="U31" i="14"/>
  <c r="AG18" i="53"/>
  <c r="BU5" i="25"/>
  <c r="N75" i="55"/>
  <c r="S74" i="55"/>
  <c r="S75" i="55"/>
  <c r="AF61" i="58"/>
  <c r="AF64" i="58"/>
  <c r="BQ45" i="25"/>
  <c r="EQ10" i="25"/>
  <c r="CE45" i="25"/>
  <c r="EQ13" i="25"/>
  <c r="CL5" i="25"/>
  <c r="AA61" i="58"/>
  <c r="AA64" i="58"/>
  <c r="U16" i="68"/>
  <c r="EQ17" i="25"/>
  <c r="AE13" i="78"/>
  <c r="AE20" i="78"/>
  <c r="AE29" i="78"/>
  <c r="BR5" i="25"/>
  <c r="AG63" i="66"/>
  <c r="AG56" i="66"/>
  <c r="Y23" i="68"/>
  <c r="Y29" i="68"/>
  <c r="Y21" i="68"/>
  <c r="Y27" i="68"/>
  <c r="AH54" i="14"/>
  <c r="AM45" i="25"/>
  <c r="AE16" i="68"/>
  <c r="AE18" i="68"/>
  <c r="V74" i="55"/>
  <c r="V75" i="55"/>
  <c r="V65" i="55"/>
  <c r="V68" i="55"/>
  <c r="V70" i="55"/>
  <c r="V71" i="55"/>
  <c r="AR45" i="25"/>
  <c r="V33" i="68"/>
  <c r="V64" i="68"/>
  <c r="G71" i="63"/>
  <c r="AB74" i="66"/>
  <c r="AB75" i="66"/>
  <c r="AB68" i="66"/>
  <c r="AB70" i="66"/>
  <c r="AB71" i="66"/>
  <c r="AB65" i="66"/>
  <c r="S74" i="59"/>
  <c r="S75" i="59"/>
  <c r="AF68" i="69"/>
  <c r="AF70" i="69"/>
  <c r="AF71" i="69"/>
  <c r="AF65" i="69"/>
  <c r="AF74" i="69"/>
  <c r="AF75" i="69"/>
  <c r="AD74" i="58"/>
  <c r="AD75" i="58"/>
  <c r="AD68" i="58"/>
  <c r="AD70" i="58"/>
  <c r="AD71" i="58"/>
  <c r="AD65" i="58"/>
  <c r="Y61" i="58"/>
  <c r="Y64" i="58"/>
  <c r="AL45" i="25"/>
  <c r="AB23" i="69"/>
  <c r="AB29" i="69"/>
  <c r="AB21" i="69"/>
  <c r="AB27" i="69"/>
  <c r="B36" i="25"/>
  <c r="A36" i="25"/>
  <c r="Z68" i="63"/>
  <c r="Z70" i="63"/>
  <c r="Z71" i="63"/>
  <c r="Z65" i="63"/>
  <c r="Z74" i="63"/>
  <c r="Z75" i="63"/>
  <c r="Y64" i="74"/>
  <c r="Y33" i="74"/>
  <c r="Z21" i="68"/>
  <c r="Z27" i="68"/>
  <c r="Z23" i="68"/>
  <c r="Z29" i="68"/>
  <c r="AF61" i="55"/>
  <c r="AF64" i="55"/>
  <c r="AE61" i="58"/>
  <c r="AE64" i="58"/>
  <c r="AA24" i="14"/>
  <c r="AA30" i="14"/>
  <c r="AC65" i="59"/>
  <c r="AC74" i="59"/>
  <c r="AC75" i="59"/>
  <c r="AC68" i="59"/>
  <c r="AC70" i="59"/>
  <c r="AC71" i="59"/>
  <c r="CH45" i="25"/>
  <c r="W68" i="69"/>
  <c r="W70" i="69"/>
  <c r="W71" i="69"/>
  <c r="W65" i="69"/>
  <c r="W74" i="69"/>
  <c r="W75" i="69"/>
  <c r="AQ47" i="65"/>
  <c r="AO45" i="65"/>
  <c r="AQ51" i="65"/>
  <c r="BM5" i="25"/>
  <c r="G71" i="68"/>
  <c r="BY5" i="25"/>
  <c r="BX45" i="25"/>
  <c r="X74" i="59"/>
  <c r="X75" i="59"/>
  <c r="X68" i="59"/>
  <c r="X70" i="59"/>
  <c r="X71" i="59"/>
  <c r="X65" i="59"/>
  <c r="J68" i="68"/>
  <c r="J70" i="68"/>
  <c r="J71" i="68"/>
  <c r="J74" i="68"/>
  <c r="J75" i="68"/>
  <c r="J65" i="68"/>
  <c r="Z23" i="14"/>
  <c r="Z29" i="14"/>
  <c r="W68" i="66"/>
  <c r="W70" i="66"/>
  <c r="W71" i="66"/>
  <c r="W65" i="66"/>
  <c r="W74" i="66"/>
  <c r="W75" i="66"/>
  <c r="U18" i="69"/>
  <c r="AW5" i="25"/>
  <c r="AG61" i="68"/>
  <c r="B37" i="25"/>
  <c r="A37" i="25"/>
  <c r="AF74" i="57"/>
  <c r="AF75" i="57"/>
  <c r="AF65" i="57"/>
  <c r="AF68" i="57"/>
  <c r="P65" i="63"/>
  <c r="P68" i="63"/>
  <c r="P74" i="63"/>
  <c r="S64" i="63"/>
  <c r="S65" i="63"/>
  <c r="N70" i="55"/>
  <c r="S68" i="55"/>
  <c r="BO45" i="25"/>
  <c r="X21" i="74"/>
  <c r="X27" i="74"/>
  <c r="X23" i="74"/>
  <c r="X29" i="74"/>
  <c r="AP56" i="65"/>
  <c r="AB18" i="68"/>
  <c r="AA64" i="74"/>
  <c r="AA33" i="74"/>
  <c r="AB61" i="59"/>
  <c r="AB64" i="59"/>
  <c r="Z74" i="57"/>
  <c r="Z75" i="57"/>
  <c r="Z65" i="57"/>
  <c r="Z68" i="57"/>
  <c r="EQ26" i="25"/>
  <c r="AD74" i="69"/>
  <c r="AD75" i="69"/>
  <c r="AD65" i="69"/>
  <c r="AD68" i="69"/>
  <c r="AD70" i="69"/>
  <c r="AD71" i="69"/>
  <c r="AH51" i="14"/>
  <c r="AG57" i="55"/>
  <c r="AE61" i="55"/>
  <c r="AE64" i="55"/>
  <c r="AG48" i="49"/>
  <c r="AC65" i="57"/>
  <c r="AC74" i="57"/>
  <c r="AC75" i="57"/>
  <c r="AC68" i="57"/>
  <c r="AD65" i="66"/>
  <c r="AD74" i="66"/>
  <c r="AD75" i="66"/>
  <c r="AD68" i="66"/>
  <c r="AD70" i="66"/>
  <c r="AD71" i="66"/>
  <c r="W74" i="59"/>
  <c r="W75" i="59"/>
  <c r="W68" i="59"/>
  <c r="W70" i="59"/>
  <c r="W71" i="59"/>
  <c r="W65" i="59"/>
  <c r="P70" i="58"/>
  <c r="S68" i="58"/>
  <c r="AG7" i="51"/>
  <c r="AG5" i="51"/>
  <c r="CK45" i="25"/>
  <c r="Q65" i="68"/>
  <c r="Q68" i="68"/>
  <c r="Q70" i="68"/>
  <c r="Q71" i="68"/>
  <c r="Q74" i="68"/>
  <c r="Q75" i="68"/>
  <c r="H74" i="69"/>
  <c r="H68" i="69"/>
  <c r="H65" i="69"/>
  <c r="S64" i="69"/>
  <c r="S65" i="69"/>
  <c r="AW47" i="25"/>
  <c r="X65" i="57"/>
  <c r="X68" i="57"/>
  <c r="X74" i="57"/>
  <c r="X75" i="57"/>
  <c r="BW45" i="25"/>
  <c r="AO52" i="65"/>
  <c r="S29" i="78"/>
  <c r="AC16" i="68"/>
  <c r="AC18" i="68"/>
  <c r="AH58" i="14"/>
  <c r="AE74" i="69"/>
  <c r="AE75" i="69"/>
  <c r="AE65" i="69"/>
  <c r="AE68" i="69"/>
  <c r="AE70" i="69"/>
  <c r="AE71" i="69"/>
  <c r="AD18" i="68"/>
  <c r="EK5" i="25"/>
  <c r="AH59" i="14"/>
  <c r="AC68" i="69"/>
  <c r="AC70" i="69"/>
  <c r="AC71" i="69"/>
  <c r="AC65" i="69"/>
  <c r="AC74" i="69"/>
  <c r="AC75" i="69"/>
  <c r="U61" i="63"/>
  <c r="CM13" i="25"/>
  <c r="B13" i="25"/>
  <c r="A13" i="25"/>
  <c r="EQ12" i="25"/>
  <c r="BN5" i="25"/>
  <c r="B33" i="25"/>
  <c r="A33" i="25"/>
  <c r="S26" i="55"/>
  <c r="S32" i="55"/>
  <c r="Y65" i="57"/>
  <c r="Y74" i="57"/>
  <c r="Y75" i="57"/>
  <c r="Y68" i="57"/>
  <c r="AF61" i="66"/>
  <c r="AF64" i="66"/>
  <c r="W18" i="68"/>
  <c r="AO54" i="65"/>
  <c r="W68" i="57"/>
  <c r="W65" i="57"/>
  <c r="W74" i="57"/>
  <c r="W75" i="57"/>
  <c r="W64" i="74"/>
  <c r="W33" i="74"/>
  <c r="EN5" i="25"/>
  <c r="EO5" i="25"/>
  <c r="AQ53" i="65"/>
  <c r="S70" i="59"/>
  <c r="S71" i="59"/>
  <c r="G71" i="59"/>
  <c r="S74" i="74"/>
  <c r="S75" i="74"/>
  <c r="G75" i="74"/>
  <c r="CM5" i="25"/>
  <c r="AC22" i="14"/>
  <c r="AC28" i="14"/>
  <c r="AC9" i="49"/>
  <c r="AC10" i="49"/>
  <c r="AC11" i="49"/>
  <c r="Z65" i="41"/>
  <c r="Z71" i="41"/>
  <c r="AQ44" i="65"/>
  <c r="AG48" i="55"/>
  <c r="U61" i="55"/>
  <c r="AC61" i="66"/>
  <c r="AC64" i="66"/>
  <c r="EM5" i="25"/>
  <c r="V23" i="68"/>
  <c r="V29" i="68"/>
  <c r="B32" i="25"/>
  <c r="AB68" i="58"/>
  <c r="AB70" i="58"/>
  <c r="AB71" i="58"/>
  <c r="AB65" i="58"/>
  <c r="AB74" i="58"/>
  <c r="AB75" i="58"/>
  <c r="EG45" i="25"/>
  <c r="H64" i="68"/>
  <c r="H33" i="68"/>
  <c r="S27" i="68"/>
  <c r="S33" i="68"/>
  <c r="EJ5" i="25"/>
  <c r="EL5" i="25"/>
  <c r="P75" i="58"/>
  <c r="S74" i="58"/>
  <c r="S75" i="58"/>
  <c r="AC68" i="74"/>
  <c r="AC70" i="74"/>
  <c r="AC71" i="74"/>
  <c r="AC74" i="74"/>
  <c r="AC75" i="74"/>
  <c r="AC65" i="74"/>
  <c r="AO9" i="65"/>
  <c r="CC45" i="25"/>
  <c r="EG5" i="25"/>
  <c r="AB74" i="62"/>
  <c r="AB75" i="62"/>
  <c r="AB65" i="62"/>
  <c r="AB68" i="62"/>
  <c r="AB70" i="62"/>
  <c r="AB71" i="62"/>
  <c r="BP47" i="25"/>
  <c r="BP45" i="25"/>
  <c r="W45" i="25"/>
  <c r="AO55" i="65"/>
  <c r="CG5" i="25"/>
  <c r="B43" i="25"/>
  <c r="A43" i="25"/>
  <c r="CA47" i="25"/>
  <c r="CM42" i="25"/>
  <c r="CM47" i="25"/>
  <c r="AG39" i="60"/>
  <c r="C47" i="25"/>
  <c r="C45" i="25"/>
  <c r="DA45" i="25"/>
  <c r="Z64" i="69"/>
  <c r="Z33" i="69"/>
  <c r="Y74" i="69"/>
  <c r="Y75" i="69"/>
  <c r="Y65" i="69"/>
  <c r="Y68" i="69"/>
  <c r="Y70" i="69"/>
  <c r="Y71" i="69"/>
  <c r="EH5" i="25"/>
  <c r="U61" i="66"/>
  <c r="AH63" i="14"/>
  <c r="EQ5" i="25"/>
  <c r="AN70" i="65"/>
  <c r="X33" i="74"/>
  <c r="X64" i="74"/>
  <c r="V65" i="68"/>
  <c r="V68" i="68"/>
  <c r="V70" i="68"/>
  <c r="V71" i="68"/>
  <c r="V74" i="68"/>
  <c r="V75" i="68"/>
  <c r="EI45" i="25"/>
  <c r="AP57" i="65"/>
  <c r="X68" i="58"/>
  <c r="X70" i="58"/>
  <c r="X71" i="58"/>
  <c r="X65" i="58"/>
  <c r="X74" i="58"/>
  <c r="X75" i="58"/>
  <c r="V16" i="69"/>
  <c r="V61" i="58"/>
  <c r="V64" i="58"/>
  <c r="V33" i="74"/>
  <c r="V64" i="74"/>
  <c r="CA45" i="25"/>
  <c r="W9" i="49"/>
  <c r="W10" i="49"/>
  <c r="W11" i="49"/>
  <c r="Y23" i="14"/>
  <c r="Y29" i="14"/>
  <c r="AP9" i="65"/>
  <c r="W14" i="60"/>
  <c r="W61" i="60"/>
  <c r="AC74" i="66"/>
  <c r="AC75" i="66"/>
  <c r="AC65" i="66"/>
  <c r="AC68" i="66"/>
  <c r="AC70" i="66"/>
  <c r="AC71" i="66"/>
  <c r="AR53" i="65"/>
  <c r="AP54" i="65"/>
  <c r="BN45" i="25"/>
  <c r="AD21" i="68"/>
  <c r="AD27" i="68"/>
  <c r="AD23" i="68"/>
  <c r="AD29" i="68"/>
  <c r="AC23" i="68"/>
  <c r="AC29" i="68"/>
  <c r="AC21" i="68"/>
  <c r="AC27" i="68"/>
  <c r="CG45" i="25"/>
  <c r="AG6" i="51"/>
  <c r="AG39" i="14"/>
  <c r="AH39" i="14"/>
  <c r="AA68" i="74"/>
  <c r="AA70" i="74"/>
  <c r="AA71" i="74"/>
  <c r="AA74" i="74"/>
  <c r="AA75" i="74"/>
  <c r="AA65" i="74"/>
  <c r="P75" i="63"/>
  <c r="S74" i="63"/>
  <c r="S75" i="63"/>
  <c r="AR51" i="65"/>
  <c r="AC61" i="58"/>
  <c r="AC64" i="58"/>
  <c r="AF74" i="55"/>
  <c r="AF75" i="55"/>
  <c r="AF65" i="55"/>
  <c r="AF68" i="55"/>
  <c r="AF70" i="55"/>
  <c r="AF71" i="55"/>
  <c r="Y65" i="74"/>
  <c r="Y74" i="74"/>
  <c r="Y75" i="74"/>
  <c r="Y68" i="74"/>
  <c r="Y70" i="74"/>
  <c r="Y71" i="74"/>
  <c r="AH56" i="14"/>
  <c r="AA68" i="58"/>
  <c r="AA70" i="58"/>
  <c r="AA71" i="58"/>
  <c r="AA65" i="58"/>
  <c r="AA74" i="58"/>
  <c r="AA75" i="58"/>
  <c r="CI45" i="25"/>
  <c r="E48" i="25"/>
  <c r="E46" i="25"/>
  <c r="Y65" i="55"/>
  <c r="Y74" i="55"/>
  <c r="Y75" i="55"/>
  <c r="Y68" i="55"/>
  <c r="Y70" i="55"/>
  <c r="Y71" i="55"/>
  <c r="CJ45" i="25"/>
  <c r="U61" i="57"/>
  <c r="AG53" i="57"/>
  <c r="X64" i="69"/>
  <c r="X33" i="69"/>
  <c r="AE74" i="74"/>
  <c r="AE75" i="74"/>
  <c r="AE65" i="74"/>
  <c r="AE68" i="74"/>
  <c r="AE70" i="74"/>
  <c r="AE71" i="74"/>
  <c r="AW45" i="25"/>
  <c r="AC14" i="60"/>
  <c r="AF14" i="60"/>
  <c r="AE14" i="60"/>
  <c r="U64" i="63"/>
  <c r="U21" i="69"/>
  <c r="U23" i="69"/>
  <c r="AF65" i="59"/>
  <c r="AF68" i="59"/>
  <c r="AF70" i="59"/>
  <c r="AF71" i="59"/>
  <c r="AF74" i="59"/>
  <c r="AF75" i="59"/>
  <c r="Z65" i="69"/>
  <c r="Z68" i="69"/>
  <c r="Z70" i="69"/>
  <c r="Z71" i="69"/>
  <c r="Z74" i="69"/>
  <c r="Z75" i="69"/>
  <c r="EJ45" i="25"/>
  <c r="A32" i="25"/>
  <c r="AR44" i="65"/>
  <c r="W21" i="68"/>
  <c r="W27" i="68"/>
  <c r="W23" i="68"/>
  <c r="W29" i="68"/>
  <c r="B42" i="25"/>
  <c r="A42" i="25"/>
  <c r="H70" i="69"/>
  <c r="S68" i="69"/>
  <c r="AG8" i="51"/>
  <c r="P71" i="58"/>
  <c r="S70" i="58"/>
  <c r="S71" i="58"/>
  <c r="AE68" i="55"/>
  <c r="AE70" i="55"/>
  <c r="AE71" i="55"/>
  <c r="AE74" i="55"/>
  <c r="AE75" i="55"/>
  <c r="AE65" i="55"/>
  <c r="AN63" i="65"/>
  <c r="AQ56" i="65"/>
  <c r="AG53" i="58"/>
  <c r="P70" i="63"/>
  <c r="S68" i="63"/>
  <c r="AI45" i="25"/>
  <c r="AP45" i="65"/>
  <c r="AE65" i="58"/>
  <c r="AE74" i="58"/>
  <c r="AE75" i="58"/>
  <c r="AE68" i="58"/>
  <c r="AE70" i="58"/>
  <c r="AE71" i="58"/>
  <c r="AB33" i="69"/>
  <c r="AB64" i="69"/>
  <c r="Y68" i="58"/>
  <c r="Y70" i="58"/>
  <c r="Y71" i="58"/>
  <c r="Y65" i="58"/>
  <c r="Y74" i="58"/>
  <c r="Y75" i="58"/>
  <c r="AG20" i="53"/>
  <c r="AA21" i="68"/>
  <c r="AA27" i="68"/>
  <c r="AA23" i="68"/>
  <c r="AA29" i="68"/>
  <c r="G71" i="74"/>
  <c r="S70" i="74"/>
  <c r="S71" i="74"/>
  <c r="AA68" i="69"/>
  <c r="AA70" i="69"/>
  <c r="AA71" i="69"/>
  <c r="AA65" i="69"/>
  <c r="AA74" i="69"/>
  <c r="AA75" i="69"/>
  <c r="AB68" i="74"/>
  <c r="AB70" i="74"/>
  <c r="AB71" i="74"/>
  <c r="AB74" i="74"/>
  <c r="AB75" i="74"/>
  <c r="AB65" i="74"/>
  <c r="AK45" i="25"/>
  <c r="AA23" i="14"/>
  <c r="AA29" i="14"/>
  <c r="AF23" i="14"/>
  <c r="AF29" i="14"/>
  <c r="AR46" i="65"/>
  <c r="BM45" i="25"/>
  <c r="AD23" i="14"/>
  <c r="AD29" i="14"/>
  <c r="CB45" i="25"/>
  <c r="AF9" i="49"/>
  <c r="AF10" i="49"/>
  <c r="AF11" i="49"/>
  <c r="AE9" i="49"/>
  <c r="AE10" i="49"/>
  <c r="AE11" i="49"/>
  <c r="U64" i="66"/>
  <c r="AG61" i="66"/>
  <c r="AF65" i="66"/>
  <c r="AF68" i="66"/>
  <c r="AF70" i="66"/>
  <c r="AF71" i="66"/>
  <c r="AF74" i="66"/>
  <c r="AF75" i="66"/>
  <c r="EF5" i="25"/>
  <c r="AG57" i="57"/>
  <c r="AP52" i="65"/>
  <c r="BV45" i="25"/>
  <c r="X16" i="68"/>
  <c r="X18" i="68"/>
  <c r="AE21" i="68"/>
  <c r="AE27" i="68"/>
  <c r="AE23" i="68"/>
  <c r="AE29" i="68"/>
  <c r="AF65" i="58"/>
  <c r="AF68" i="58"/>
  <c r="AF70" i="58"/>
  <c r="AF71" i="58"/>
  <c r="AF74" i="58"/>
  <c r="AF75" i="58"/>
  <c r="AE23" i="14"/>
  <c r="AE29" i="14"/>
  <c r="AG16" i="74"/>
  <c r="AH16" i="74"/>
  <c r="EN45" i="25"/>
  <c r="W22" i="14"/>
  <c r="W28" i="14"/>
  <c r="AP55" i="65"/>
  <c r="A5" i="25"/>
  <c r="B5" i="25"/>
  <c r="H68" i="68"/>
  <c r="H74" i="68"/>
  <c r="H65" i="68"/>
  <c r="S64" i="68"/>
  <c r="S65" i="68"/>
  <c r="U64" i="55"/>
  <c r="W68" i="74"/>
  <c r="W70" i="74"/>
  <c r="W71" i="74"/>
  <c r="W74" i="74"/>
  <c r="W75" i="74"/>
  <c r="W65" i="74"/>
  <c r="EP5" i="25"/>
  <c r="EL45" i="25"/>
  <c r="EK45" i="25"/>
  <c r="AB23" i="14"/>
  <c r="AB29" i="14"/>
  <c r="B47" i="25"/>
  <c r="A47" i="25"/>
  <c r="H75" i="69"/>
  <c r="S74" i="69"/>
  <c r="S75" i="69"/>
  <c r="U24" i="14"/>
  <c r="AG24" i="14"/>
  <c r="AH38" i="14"/>
  <c r="AB65" i="59"/>
  <c r="AB74" i="59"/>
  <c r="AB75" i="59"/>
  <c r="AB68" i="59"/>
  <c r="AB70" i="59"/>
  <c r="AB71" i="59"/>
  <c r="AB21" i="68"/>
  <c r="AB27" i="68"/>
  <c r="AB23" i="68"/>
  <c r="AB29" i="68"/>
  <c r="EE5" i="25"/>
  <c r="N71" i="55"/>
  <c r="S70" i="55"/>
  <c r="S71" i="55"/>
  <c r="AR47" i="65"/>
  <c r="Z64" i="68"/>
  <c r="Z33" i="68"/>
  <c r="U61" i="59"/>
  <c r="Y33" i="68"/>
  <c r="Y64" i="68"/>
  <c r="BR45" i="25"/>
  <c r="AG16" i="68"/>
  <c r="Y25" i="14"/>
  <c r="Y31" i="14"/>
  <c r="AF21" i="68"/>
  <c r="AF27" i="68"/>
  <c r="AF23" i="68"/>
  <c r="AF29" i="68"/>
  <c r="CF45" i="25"/>
  <c r="AA65" i="41"/>
  <c r="AA71" i="41"/>
  <c r="Z33" i="74"/>
  <c r="Z64" i="74"/>
  <c r="U18" i="68"/>
  <c r="AE68" i="66"/>
  <c r="AE70" i="66"/>
  <c r="AE71" i="66"/>
  <c r="AE65" i="66"/>
  <c r="AE74" i="66"/>
  <c r="AE75" i="66"/>
  <c r="AA74" i="55"/>
  <c r="AA75" i="55"/>
  <c r="AA68" i="55"/>
  <c r="AA70" i="55"/>
  <c r="AA71" i="55"/>
  <c r="AA65" i="55"/>
  <c r="EM45" i="25"/>
  <c r="EP45" i="25"/>
  <c r="AF33" i="68"/>
  <c r="AF64" i="68"/>
  <c r="EH45" i="25"/>
  <c r="B38" i="25"/>
  <c r="AQ9" i="65"/>
  <c r="AQ57" i="65"/>
  <c r="X74" i="74"/>
  <c r="X75" i="74"/>
  <c r="X68" i="74"/>
  <c r="X70" i="74"/>
  <c r="X71" i="74"/>
  <c r="X65" i="74"/>
  <c r="AO70" i="65"/>
  <c r="AA14" i="60"/>
  <c r="U61" i="61"/>
  <c r="AG53" i="61"/>
  <c r="AB64" i="68"/>
  <c r="AB33" i="68"/>
  <c r="U30" i="14"/>
  <c r="AB14" i="60"/>
  <c r="U65" i="55"/>
  <c r="U74" i="55"/>
  <c r="U68" i="55"/>
  <c r="H70" i="68"/>
  <c r="S68" i="68"/>
  <c r="AD14" i="60"/>
  <c r="AE64" i="68"/>
  <c r="AE33" i="68"/>
  <c r="U65" i="66"/>
  <c r="U74" i="66"/>
  <c r="U68" i="66"/>
  <c r="AG64" i="66"/>
  <c r="AG65" i="66"/>
  <c r="X23" i="14"/>
  <c r="X29" i="14"/>
  <c r="AB74" i="69"/>
  <c r="AB75" i="69"/>
  <c r="AB68" i="69"/>
  <c r="AB70" i="69"/>
  <c r="AB71" i="69"/>
  <c r="AB65" i="69"/>
  <c r="W61" i="55"/>
  <c r="Z14" i="60"/>
  <c r="W61" i="58"/>
  <c r="W64" i="58"/>
  <c r="U27" i="69"/>
  <c r="AF22" i="60"/>
  <c r="AF21" i="60"/>
  <c r="AF27" i="60"/>
  <c r="X74" i="69"/>
  <c r="X75" i="69"/>
  <c r="X68" i="69"/>
  <c r="X70" i="69"/>
  <c r="X71" i="69"/>
  <c r="X65" i="69"/>
  <c r="AG61" i="57"/>
  <c r="U64" i="57"/>
  <c r="AG8" i="49"/>
  <c r="AD33" i="68"/>
  <c r="AD64" i="68"/>
  <c r="Y61" i="63"/>
  <c r="AA9" i="49"/>
  <c r="AA10" i="49"/>
  <c r="AA11" i="49"/>
  <c r="CM45" i="25"/>
  <c r="Y65" i="68"/>
  <c r="Y68" i="68"/>
  <c r="Y70" i="68"/>
  <c r="Y71" i="68"/>
  <c r="Y74" i="68"/>
  <c r="Y75" i="68"/>
  <c r="AN48" i="65"/>
  <c r="H75" i="68"/>
  <c r="S74" i="68"/>
  <c r="S75" i="68"/>
  <c r="AQ55" i="65"/>
  <c r="AG18" i="74"/>
  <c r="U21" i="74"/>
  <c r="AG23" i="74"/>
  <c r="AG29" i="74"/>
  <c r="P71" i="63"/>
  <c r="S70" i="63"/>
  <c r="S71" i="63"/>
  <c r="AC61" i="60"/>
  <c r="U21" i="68"/>
  <c r="AG18" i="68"/>
  <c r="U23" i="68"/>
  <c r="Z74" i="74"/>
  <c r="Z75" i="74"/>
  <c r="Z65" i="74"/>
  <c r="Z68" i="74"/>
  <c r="Z70" i="74"/>
  <c r="Z71" i="74"/>
  <c r="Z68" i="68"/>
  <c r="Z70" i="68"/>
  <c r="Z71" i="68"/>
  <c r="Z65" i="68"/>
  <c r="Z74" i="68"/>
  <c r="Z75" i="68"/>
  <c r="AD9" i="49"/>
  <c r="AD10" i="49"/>
  <c r="AD11" i="49"/>
  <c r="X21" i="68"/>
  <c r="X27" i="68"/>
  <c r="X23" i="68"/>
  <c r="X29" i="68"/>
  <c r="EF45" i="25"/>
  <c r="AF22" i="14"/>
  <c r="AF28" i="14"/>
  <c r="AA64" i="68"/>
  <c r="AA33" i="68"/>
  <c r="H71" i="69"/>
  <c r="S70" i="69"/>
  <c r="S71" i="69"/>
  <c r="Z9" i="49"/>
  <c r="Z10" i="49"/>
  <c r="Z11" i="49"/>
  <c r="U65" i="63"/>
  <c r="U68" i="63"/>
  <c r="U74" i="63"/>
  <c r="AF61" i="60"/>
  <c r="AB65" i="41"/>
  <c r="AB71" i="41"/>
  <c r="EC45" i="25"/>
  <c r="AC64" i="68"/>
  <c r="AC33" i="68"/>
  <c r="AQ54" i="65"/>
  <c r="V65" i="74"/>
  <c r="V68" i="74"/>
  <c r="V70" i="74"/>
  <c r="V71" i="74"/>
  <c r="V74" i="74"/>
  <c r="V75" i="74"/>
  <c r="V65" i="58"/>
  <c r="V74" i="58"/>
  <c r="V75" i="58"/>
  <c r="V68" i="58"/>
  <c r="V70" i="58"/>
  <c r="V71" i="58"/>
  <c r="V18" i="69"/>
  <c r="AG16" i="69"/>
  <c r="Y14" i="60"/>
  <c r="U64" i="59"/>
  <c r="AQ52" i="65"/>
  <c r="AG7" i="53"/>
  <c r="AG5" i="53"/>
  <c r="AG8" i="53"/>
  <c r="AE61" i="60"/>
  <c r="AC68" i="58"/>
  <c r="AC70" i="58"/>
  <c r="AC71" i="58"/>
  <c r="AC74" i="58"/>
  <c r="AC75" i="58"/>
  <c r="AC65" i="58"/>
  <c r="AG6" i="49"/>
  <c r="EQ31" i="25"/>
  <c r="AB9" i="49"/>
  <c r="AB10" i="49"/>
  <c r="AB11" i="49"/>
  <c r="V23" i="14"/>
  <c r="V29" i="14"/>
  <c r="AG30" i="14"/>
  <c r="AH57" i="14"/>
  <c r="AE22" i="14"/>
  <c r="AE28" i="14"/>
  <c r="AQ45" i="65"/>
  <c r="AR56" i="65"/>
  <c r="W33" i="68"/>
  <c r="W64" i="68"/>
  <c r="AE22" i="60"/>
  <c r="AE21" i="60"/>
  <c r="AE27" i="60"/>
  <c r="AC22" i="60"/>
  <c r="AC21" i="60"/>
  <c r="AC27" i="60"/>
  <c r="E45" i="25"/>
  <c r="AG53" i="62"/>
  <c r="U61" i="62"/>
  <c r="W21" i="60"/>
  <c r="W27" i="60"/>
  <c r="W22" i="60"/>
  <c r="Y9" i="49"/>
  <c r="Y10" i="49"/>
  <c r="Y11" i="49"/>
  <c r="AE33" i="60"/>
  <c r="AE64" i="60"/>
  <c r="AN69" i="65"/>
  <c r="AO69" i="65"/>
  <c r="U74" i="59"/>
  <c r="U65" i="59"/>
  <c r="U68" i="59"/>
  <c r="U75" i="63"/>
  <c r="Z61" i="60"/>
  <c r="U75" i="55"/>
  <c r="AR9" i="65"/>
  <c r="B48" i="25"/>
  <c r="A48" i="25"/>
  <c r="BY45" i="25"/>
  <c r="B46" i="25"/>
  <c r="EQ45" i="25"/>
  <c r="U70" i="63"/>
  <c r="V9" i="49"/>
  <c r="V10" i="49"/>
  <c r="V11" i="49"/>
  <c r="X33" i="68"/>
  <c r="X64" i="68"/>
  <c r="AG21" i="68"/>
  <c r="U27" i="68"/>
  <c r="AG21" i="74"/>
  <c r="U27" i="74"/>
  <c r="AR48" i="65"/>
  <c r="AA22" i="14"/>
  <c r="AA28" i="14"/>
  <c r="W65" i="58"/>
  <c r="W68" i="58"/>
  <c r="W70" i="58"/>
  <c r="W71" i="58"/>
  <c r="W74" i="58"/>
  <c r="W75" i="58"/>
  <c r="U70" i="66"/>
  <c r="AG68" i="66"/>
  <c r="AE68" i="68"/>
  <c r="AE70" i="68"/>
  <c r="AE71" i="68"/>
  <c r="AE65" i="68"/>
  <c r="AE74" i="68"/>
  <c r="AE75" i="68"/>
  <c r="H71" i="68"/>
  <c r="S70" i="68"/>
  <c r="S71" i="68"/>
  <c r="AG61" i="61"/>
  <c r="U64" i="61"/>
  <c r="AR57" i="65"/>
  <c r="AF68" i="68"/>
  <c r="AF70" i="68"/>
  <c r="AF71" i="68"/>
  <c r="AF74" i="68"/>
  <c r="AF75" i="68"/>
  <c r="AF65" i="68"/>
  <c r="Y61" i="60"/>
  <c r="V14" i="60"/>
  <c r="AR55" i="65"/>
  <c r="AQ48" i="65"/>
  <c r="AG61" i="62"/>
  <c r="U64" i="62"/>
  <c r="AF33" i="14"/>
  <c r="AG6" i="53"/>
  <c r="Z22" i="14"/>
  <c r="Z28" i="14"/>
  <c r="AC65" i="41"/>
  <c r="AC71" i="41"/>
  <c r="AP48" i="65"/>
  <c r="U65" i="57"/>
  <c r="U68" i="57"/>
  <c r="U74" i="57"/>
  <c r="AG64" i="57"/>
  <c r="AG65" i="57"/>
  <c r="U64" i="69"/>
  <c r="U33" i="69"/>
  <c r="AC23" i="14"/>
  <c r="AC29" i="14"/>
  <c r="AG74" i="66"/>
  <c r="AG75" i="66"/>
  <c r="U75" i="66"/>
  <c r="AD22" i="60"/>
  <c r="AD21" i="60"/>
  <c r="AD27" i="60"/>
  <c r="U70" i="55"/>
  <c r="AB61" i="60"/>
  <c r="AB68" i="68"/>
  <c r="AB70" i="68"/>
  <c r="AB71" i="68"/>
  <c r="AB74" i="68"/>
  <c r="AB75" i="68"/>
  <c r="AB65" i="68"/>
  <c r="AA61" i="60"/>
  <c r="X14" i="60"/>
  <c r="AA61" i="59"/>
  <c r="AG53" i="59"/>
  <c r="AC65" i="68"/>
  <c r="AC74" i="68"/>
  <c r="AC75" i="68"/>
  <c r="AC68" i="68"/>
  <c r="AC70" i="68"/>
  <c r="AC71" i="68"/>
  <c r="AA65" i="68"/>
  <c r="AA74" i="68"/>
  <c r="AA75" i="68"/>
  <c r="AA68" i="68"/>
  <c r="AA70" i="68"/>
  <c r="AA71" i="68"/>
  <c r="AN49" i="65"/>
  <c r="AO48" i="65"/>
  <c r="Y64" i="63"/>
  <c r="AG61" i="63"/>
  <c r="AD68" i="68"/>
  <c r="AD70" i="68"/>
  <c r="AD71" i="68"/>
  <c r="AD65" i="68"/>
  <c r="AD74" i="68"/>
  <c r="AD75" i="68"/>
  <c r="Y22" i="14"/>
  <c r="Y28" i="14"/>
  <c r="AH5" i="14"/>
  <c r="AC33" i="60"/>
  <c r="AC64" i="60"/>
  <c r="W68" i="68"/>
  <c r="W70" i="68"/>
  <c r="W71" i="68"/>
  <c r="W65" i="68"/>
  <c r="W74" i="68"/>
  <c r="W75" i="68"/>
  <c r="AB22" i="14"/>
  <c r="AB28" i="14"/>
  <c r="EE45" i="25"/>
  <c r="AR54" i="65"/>
  <c r="W64" i="60"/>
  <c r="W33" i="60"/>
  <c r="AR45" i="65"/>
  <c r="AE25" i="14"/>
  <c r="AE31" i="14"/>
  <c r="AG25" i="14"/>
  <c r="AR52" i="65"/>
  <c r="Y22" i="60"/>
  <c r="Y21" i="60"/>
  <c r="Y27" i="60"/>
  <c r="V23" i="69"/>
  <c r="V21" i="69"/>
  <c r="AG18" i="69"/>
  <c r="AD22" i="14"/>
  <c r="AD28" i="14"/>
  <c r="AG23" i="68"/>
  <c r="AG29" i="68"/>
  <c r="U29" i="68"/>
  <c r="AN16" i="65"/>
  <c r="AF64" i="60"/>
  <c r="AF33" i="60"/>
  <c r="Z22" i="60"/>
  <c r="Z21" i="60"/>
  <c r="Z27" i="60"/>
  <c r="W64" i="55"/>
  <c r="AG61" i="55"/>
  <c r="AD61" i="60"/>
  <c r="AB22" i="60"/>
  <c r="AB21" i="60"/>
  <c r="AB27" i="60"/>
  <c r="AA21" i="60"/>
  <c r="AA27" i="60"/>
  <c r="AA22" i="60"/>
  <c r="AP70" i="65"/>
  <c r="A38" i="25"/>
  <c r="A31" i="25"/>
  <c r="B31" i="25"/>
  <c r="X9" i="49"/>
  <c r="X10" i="49"/>
  <c r="X11" i="49"/>
  <c r="W74" i="60"/>
  <c r="W75" i="60"/>
  <c r="W68" i="60"/>
  <c r="W70" i="60"/>
  <c r="W71" i="60"/>
  <c r="W65" i="60"/>
  <c r="AC68" i="60"/>
  <c r="AC70" i="60"/>
  <c r="AC71" i="60"/>
  <c r="AC74" i="60"/>
  <c r="AC75" i="60"/>
  <c r="AC65" i="60"/>
  <c r="AC33" i="14"/>
  <c r="AG68" i="57"/>
  <c r="V22" i="60"/>
  <c r="V21" i="60"/>
  <c r="V27" i="60"/>
  <c r="U71" i="63"/>
  <c r="AA64" i="60"/>
  <c r="AA33" i="60"/>
  <c r="Y33" i="60"/>
  <c r="Y64" i="60"/>
  <c r="AG12" i="60"/>
  <c r="U14" i="60"/>
  <c r="Y68" i="63"/>
  <c r="Y74" i="63"/>
  <c r="Y65" i="63"/>
  <c r="AG64" i="63"/>
  <c r="AG65" i="63"/>
  <c r="U74" i="69"/>
  <c r="U68" i="69"/>
  <c r="U65" i="69"/>
  <c r="U61" i="58"/>
  <c r="AG49" i="58"/>
  <c r="V61" i="60"/>
  <c r="U33" i="68"/>
  <c r="AG27" i="68"/>
  <c r="AG33" i="68"/>
  <c r="U64" i="68"/>
  <c r="A46" i="25"/>
  <c r="A45" i="25"/>
  <c r="B45" i="25"/>
  <c r="U75" i="59"/>
  <c r="X22" i="14"/>
  <c r="X28" i="14"/>
  <c r="V29" i="69"/>
  <c r="AG23" i="69"/>
  <c r="AG29" i="69"/>
  <c r="AH7" i="49"/>
  <c r="AG7" i="49"/>
  <c r="AG9" i="49"/>
  <c r="AG10" i="49"/>
  <c r="AG11" i="49"/>
  <c r="U9" i="49"/>
  <c r="U10" i="49"/>
  <c r="U11" i="49"/>
  <c r="AN5" i="65"/>
  <c r="AD64" i="60"/>
  <c r="AD33" i="60"/>
  <c r="AO7" i="65"/>
  <c r="AA33" i="14"/>
  <c r="AB33" i="60"/>
  <c r="AB64" i="60"/>
  <c r="AO49" i="65"/>
  <c r="X21" i="60"/>
  <c r="X27" i="60"/>
  <c r="X22" i="60"/>
  <c r="Z33" i="14"/>
  <c r="AG64" i="62"/>
  <c r="AG65" i="62"/>
  <c r="U68" i="62"/>
  <c r="U65" i="62"/>
  <c r="U74" i="62"/>
  <c r="U68" i="61"/>
  <c r="U74" i="61"/>
  <c r="U65" i="61"/>
  <c r="AG64" i="61"/>
  <c r="AG65" i="61"/>
  <c r="V22" i="14"/>
  <c r="V28" i="14"/>
  <c r="AE74" i="60"/>
  <c r="AE75" i="60"/>
  <c r="AE65" i="60"/>
  <c r="AE68" i="60"/>
  <c r="AE70" i="60"/>
  <c r="AE71" i="60"/>
  <c r="Z33" i="60"/>
  <c r="Z64" i="60"/>
  <c r="AN14" i="65"/>
  <c r="AB33" i="14"/>
  <c r="U71" i="66"/>
  <c r="AG70" i="66"/>
  <c r="AG71" i="66"/>
  <c r="AQ70" i="65"/>
  <c r="W65" i="55"/>
  <c r="W74" i="55"/>
  <c r="W68" i="55"/>
  <c r="AG64" i="55"/>
  <c r="AG65" i="55"/>
  <c r="AF65" i="60"/>
  <c r="AF68" i="60"/>
  <c r="AF70" i="60"/>
  <c r="AF71" i="60"/>
  <c r="AF74" i="60"/>
  <c r="AF75" i="60"/>
  <c r="AD33" i="14"/>
  <c r="V27" i="69"/>
  <c r="AG21" i="69"/>
  <c r="AG31" i="14"/>
  <c r="AR49" i="65"/>
  <c r="Y33" i="14"/>
  <c r="AA64" i="59"/>
  <c r="AG61" i="59"/>
  <c r="X61" i="60"/>
  <c r="U71" i="55"/>
  <c r="AG74" i="57"/>
  <c r="AG75" i="57"/>
  <c r="U75" i="57"/>
  <c r="AP49" i="65"/>
  <c r="AD65" i="41"/>
  <c r="AD71" i="41"/>
  <c r="W23" i="14"/>
  <c r="W29" i="14"/>
  <c r="U33" i="74"/>
  <c r="AG27" i="74"/>
  <c r="AG33" i="74"/>
  <c r="U64" i="74"/>
  <c r="X65" i="68"/>
  <c r="X74" i="68"/>
  <c r="X75" i="68"/>
  <c r="X68" i="68"/>
  <c r="X70" i="68"/>
  <c r="X71" i="68"/>
  <c r="U70" i="59"/>
  <c r="AQ49" i="65"/>
  <c r="AG74" i="61"/>
  <c r="AG75" i="61"/>
  <c r="U75" i="61"/>
  <c r="U74" i="68"/>
  <c r="U65" i="68"/>
  <c r="AG64" i="68"/>
  <c r="AG65" i="68"/>
  <c r="U68" i="68"/>
  <c r="U22" i="60"/>
  <c r="AG22" i="60"/>
  <c r="U21" i="60"/>
  <c r="AG14" i="60"/>
  <c r="AE33" i="14"/>
  <c r="V33" i="69"/>
  <c r="V64" i="69"/>
  <c r="AG27" i="69"/>
  <c r="AG33" i="69"/>
  <c r="W70" i="55"/>
  <c r="AG68" i="55"/>
  <c r="AR70" i="65"/>
  <c r="AB65" i="14"/>
  <c r="AB74" i="14"/>
  <c r="AB75" i="14"/>
  <c r="V33" i="14"/>
  <c r="AG68" i="61"/>
  <c r="U70" i="61"/>
  <c r="Z74" i="14"/>
  <c r="Z75" i="14"/>
  <c r="Z65" i="14"/>
  <c r="X64" i="60"/>
  <c r="X33" i="60"/>
  <c r="AA74" i="14"/>
  <c r="AA75" i="14"/>
  <c r="AA65" i="14"/>
  <c r="W33" i="14"/>
  <c r="AG74" i="62"/>
  <c r="AG75" i="62"/>
  <c r="U75" i="62"/>
  <c r="Y65" i="60"/>
  <c r="Y74" i="60"/>
  <c r="Y75" i="60"/>
  <c r="Y68" i="60"/>
  <c r="Y70" i="60"/>
  <c r="Y71" i="60"/>
  <c r="U65" i="74"/>
  <c r="U68" i="74"/>
  <c r="U74" i="74"/>
  <c r="AG64" i="74"/>
  <c r="AG65" i="74"/>
  <c r="W75" i="55"/>
  <c r="AG74" i="55"/>
  <c r="AG75" i="55"/>
  <c r="Z74" i="60"/>
  <c r="Z75" i="60"/>
  <c r="Z68" i="60"/>
  <c r="Z70" i="60"/>
  <c r="Z71" i="60"/>
  <c r="Z65" i="60"/>
  <c r="U70" i="62"/>
  <c r="AG68" i="62"/>
  <c r="AO5" i="65"/>
  <c r="U70" i="69"/>
  <c r="Y75" i="63"/>
  <c r="AG74" i="63"/>
  <c r="AG75" i="63"/>
  <c r="U61" i="60"/>
  <c r="AG61" i="60"/>
  <c r="AG53" i="60"/>
  <c r="AA65" i="60"/>
  <c r="AA74" i="60"/>
  <c r="AA75" i="60"/>
  <c r="AA68" i="60"/>
  <c r="AA70" i="60"/>
  <c r="AA71" i="60"/>
  <c r="U71" i="59"/>
  <c r="AA74" i="59"/>
  <c r="AA68" i="59"/>
  <c r="AA65" i="59"/>
  <c r="AG64" i="59"/>
  <c r="AG65" i="59"/>
  <c r="Y65" i="14"/>
  <c r="Y74" i="14"/>
  <c r="Y75" i="14"/>
  <c r="AB65" i="60"/>
  <c r="AB68" i="60"/>
  <c r="AB70" i="60"/>
  <c r="AB71" i="60"/>
  <c r="AB74" i="60"/>
  <c r="AB75" i="60"/>
  <c r="AP7" i="65"/>
  <c r="AD68" i="60"/>
  <c r="AD70" i="60"/>
  <c r="AD71" i="60"/>
  <c r="AD74" i="60"/>
  <c r="AD75" i="60"/>
  <c r="AD65" i="60"/>
  <c r="X33" i="14"/>
  <c r="AE65" i="41"/>
  <c r="AE71" i="41"/>
  <c r="AG61" i="58"/>
  <c r="U64" i="58"/>
  <c r="U75" i="69"/>
  <c r="Y70" i="63"/>
  <c r="AG68" i="63"/>
  <c r="V64" i="60"/>
  <c r="V33" i="60"/>
  <c r="AG74" i="74"/>
  <c r="AG75" i="74"/>
  <c r="U75" i="74"/>
  <c r="AG74" i="68"/>
  <c r="AG75" i="68"/>
  <c r="U75" i="68"/>
  <c r="AF71" i="41"/>
  <c r="AF65" i="41"/>
  <c r="AP5" i="65"/>
  <c r="U70" i="74"/>
  <c r="AG68" i="74"/>
  <c r="AG14" i="14"/>
  <c r="AG21" i="14"/>
  <c r="U22" i="14"/>
  <c r="AG70" i="61"/>
  <c r="AG71" i="61"/>
  <c r="U71" i="61"/>
  <c r="AG68" i="68"/>
  <c r="U70" i="68"/>
  <c r="AG64" i="58"/>
  <c r="AG65" i="58"/>
  <c r="U68" i="58"/>
  <c r="U65" i="58"/>
  <c r="U74" i="58"/>
  <c r="Y71" i="63"/>
  <c r="AG70" i="63"/>
  <c r="AG71" i="63"/>
  <c r="V74" i="60"/>
  <c r="V75" i="60"/>
  <c r="V68" i="60"/>
  <c r="V70" i="60"/>
  <c r="V71" i="60"/>
  <c r="V65" i="60"/>
  <c r="AQ7" i="65"/>
  <c r="AA70" i="59"/>
  <c r="AG68" i="59"/>
  <c r="AH53" i="14"/>
  <c r="AO16" i="65"/>
  <c r="U71" i="62"/>
  <c r="AG70" i="62"/>
  <c r="AG71" i="62"/>
  <c r="AO8" i="65"/>
  <c r="AG61" i="14"/>
  <c r="AH61" i="14"/>
  <c r="W65" i="14"/>
  <c r="W74" i="14"/>
  <c r="W75" i="14"/>
  <c r="AN15" i="65"/>
  <c r="V65" i="14"/>
  <c r="V74" i="14"/>
  <c r="V75" i="14"/>
  <c r="W71" i="55"/>
  <c r="AG70" i="55"/>
  <c r="AG71" i="55"/>
  <c r="AC65" i="14"/>
  <c r="AC74" i="14"/>
  <c r="AC75" i="14"/>
  <c r="X65" i="14"/>
  <c r="X74" i="14"/>
  <c r="X75" i="14"/>
  <c r="AO14" i="65"/>
  <c r="AG10" i="14"/>
  <c r="V74" i="69"/>
  <c r="V65" i="69"/>
  <c r="V68" i="69"/>
  <c r="AG64" i="69"/>
  <c r="AG65" i="69"/>
  <c r="U27" i="60"/>
  <c r="AG21" i="60"/>
  <c r="AA75" i="59"/>
  <c r="AG74" i="59"/>
  <c r="AG75" i="59"/>
  <c r="U71" i="69"/>
  <c r="AO15" i="65"/>
  <c r="AH49" i="14"/>
  <c r="AH6" i="14"/>
  <c r="X68" i="60"/>
  <c r="X70" i="60"/>
  <c r="X71" i="60"/>
  <c r="X74" i="60"/>
  <c r="X75" i="60"/>
  <c r="X65" i="60"/>
  <c r="AA71" i="59"/>
  <c r="AG70" i="59"/>
  <c r="AG71" i="59"/>
  <c r="AD65" i="14"/>
  <c r="AD74" i="14"/>
  <c r="AD75" i="14"/>
  <c r="V70" i="69"/>
  <c r="AG68" i="69"/>
  <c r="U33" i="14"/>
  <c r="AG27" i="14"/>
  <c r="AN65" i="65"/>
  <c r="AR7" i="65"/>
  <c r="AG74" i="58"/>
  <c r="AG75" i="58"/>
  <c r="U75" i="58"/>
  <c r="AG70" i="68"/>
  <c r="AG71" i="68"/>
  <c r="U71" i="68"/>
  <c r="AG22" i="14"/>
  <c r="AG28" i="14"/>
  <c r="U28" i="14"/>
  <c r="U71" i="74"/>
  <c r="AG70" i="74"/>
  <c r="AG71" i="74"/>
  <c r="AP16" i="65"/>
  <c r="AP14" i="65"/>
  <c r="AG65" i="41"/>
  <c r="AG71" i="41"/>
  <c r="AN61" i="65"/>
  <c r="AO17" i="65"/>
  <c r="AN17" i="65"/>
  <c r="AP8" i="65"/>
  <c r="AQ5" i="65"/>
  <c r="AF14" i="80"/>
  <c r="AP61" i="65"/>
  <c r="AN6" i="65"/>
  <c r="AO61" i="65"/>
  <c r="U64" i="60"/>
  <c r="AG27" i="60"/>
  <c r="AG33" i="60"/>
  <c r="U33" i="60"/>
  <c r="V75" i="69"/>
  <c r="AG74" i="69"/>
  <c r="AG75" i="69"/>
  <c r="U70" i="58"/>
  <c r="AG68" i="58"/>
  <c r="AP15" i="65"/>
  <c r="AG18" i="14"/>
  <c r="U23" i="14"/>
  <c r="U71" i="58"/>
  <c r="AG70" i="58"/>
  <c r="AG71" i="58"/>
  <c r="AO6" i="65"/>
  <c r="AQ16" i="65"/>
  <c r="AQ61" i="65"/>
  <c r="AQ8" i="65"/>
  <c r="AN73" i="65"/>
  <c r="AR5" i="65"/>
  <c r="AH47" i="14"/>
  <c r="AG73" i="14"/>
  <c r="AH73" i="14"/>
  <c r="AQ15" i="65"/>
  <c r="U65" i="14"/>
  <c r="U74" i="14"/>
  <c r="V71" i="69"/>
  <c r="AG70" i="69"/>
  <c r="AG71" i="69"/>
  <c r="AG23" i="14"/>
  <c r="AG29" i="14"/>
  <c r="U29" i="14"/>
  <c r="AE74" i="14"/>
  <c r="AE75" i="14"/>
  <c r="AE65" i="14"/>
  <c r="U68" i="60"/>
  <c r="U74" i="60"/>
  <c r="AG64" i="60"/>
  <c r="AG65" i="60"/>
  <c r="U65" i="60"/>
  <c r="AQ14" i="65"/>
  <c r="AP17" i="65"/>
  <c r="AO65" i="65"/>
  <c r="AG33" i="14"/>
  <c r="U70" i="60"/>
  <c r="AG68" i="60"/>
  <c r="AN58" i="65"/>
  <c r="AR16" i="65"/>
  <c r="AQ17" i="65"/>
  <c r="AR14" i="65"/>
  <c r="AR8" i="65"/>
  <c r="AO13" i="65"/>
  <c r="AP6" i="65"/>
  <c r="U75" i="14"/>
  <c r="AG48" i="14"/>
  <c r="AH48" i="14"/>
  <c r="G41" i="65"/>
  <c r="AP65" i="65"/>
  <c r="U75" i="60"/>
  <c r="AG74" i="60"/>
  <c r="AG75" i="60"/>
  <c r="AR15" i="65"/>
  <c r="AR61" i="65"/>
  <c r="AQ65" i="65"/>
  <c r="AP13" i="65"/>
  <c r="AQ6" i="65"/>
  <c r="AQ58" i="65"/>
  <c r="AG70" i="60"/>
  <c r="AG71" i="60"/>
  <c r="U71" i="60"/>
  <c r="AN59" i="65"/>
  <c r="AF65" i="14"/>
  <c r="AF74" i="14"/>
  <c r="AG64" i="14"/>
  <c r="AR17" i="65"/>
  <c r="AO58" i="65"/>
  <c r="AR58" i="65"/>
  <c r="AO63" i="65"/>
  <c r="AP58" i="65"/>
  <c r="G78" i="65"/>
  <c r="AR65" i="65"/>
  <c r="AP63" i="65"/>
  <c r="AO73" i="65"/>
  <c r="AG65" i="14"/>
  <c r="AG68" i="14"/>
  <c r="AO59" i="65"/>
  <c r="AP59" i="65"/>
  <c r="AR59" i="65"/>
  <c r="AF75" i="14"/>
  <c r="AG74" i="14"/>
  <c r="AG75" i="14"/>
  <c r="AQ13" i="65"/>
  <c r="AR6" i="65"/>
  <c r="AQ59" i="65"/>
  <c r="AQ63" i="65"/>
  <c r="AR13" i="65"/>
  <c r="H41" i="65"/>
  <c r="AP73" i="65"/>
  <c r="I41" i="65"/>
  <c r="AR63" i="65"/>
  <c r="H78" i="65"/>
  <c r="AQ73" i="65"/>
  <c r="AR73" i="65"/>
  <c r="I78" i="65"/>
  <c r="J41" i="65"/>
  <c r="K41" i="65"/>
  <c r="J78" i="65"/>
  <c r="K78" i="65"/>
  <c r="U69" i="57"/>
  <c r="U70" i="57"/>
  <c r="V69" i="57"/>
  <c r="V70" i="57"/>
  <c r="W69" i="57"/>
  <c r="W70" i="57"/>
  <c r="X69" i="57"/>
  <c r="X70" i="57"/>
  <c r="Y69" i="57"/>
  <c r="Y70" i="57"/>
  <c r="Z69" i="57"/>
  <c r="Z70" i="57"/>
  <c r="AA69" i="57"/>
  <c r="AA70" i="57"/>
  <c r="AB69" i="57"/>
  <c r="AB70" i="57"/>
  <c r="AC69" i="57"/>
  <c r="AC70" i="57"/>
  <c r="AD69" i="57"/>
  <c r="AD70" i="57"/>
  <c r="AE69" i="57"/>
  <c r="AE70" i="57"/>
  <c r="AF69" i="57"/>
  <c r="AF70" i="57"/>
  <c r="AG70" i="57"/>
  <c r="AG71" i="57"/>
  <c r="AF71" i="57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G71" i="14"/>
  <c r="AF71" i="14"/>
  <c r="AG69" i="57"/>
  <c r="U71" i="57"/>
  <c r="U71" i="14"/>
  <c r="AD71" i="14"/>
  <c r="AE71" i="14"/>
  <c r="AE71" i="57"/>
  <c r="AC71" i="14"/>
  <c r="W71" i="14"/>
  <c r="X71" i="14"/>
  <c r="AD71" i="57"/>
  <c r="Y71" i="14"/>
  <c r="V71" i="57"/>
  <c r="V71" i="14"/>
  <c r="X71" i="57"/>
  <c r="W71" i="57"/>
  <c r="AC71" i="57"/>
  <c r="Z71" i="14"/>
  <c r="Z71" i="57"/>
  <c r="Y71" i="57"/>
  <c r="AB71" i="14"/>
  <c r="AB71" i="57"/>
  <c r="AA71" i="14"/>
  <c r="AA71" i="57"/>
  <c r="T76" i="14"/>
  <c r="S76" i="14"/>
  <c r="AG76" i="14"/>
  <c r="N82" i="65"/>
  <c r="N83" i="65"/>
  <c r="N171" i="65"/>
  <c r="U82" i="65"/>
  <c r="V160" i="65"/>
  <c r="W160" i="65"/>
  <c r="X160" i="65"/>
  <c r="Y160" i="65"/>
  <c r="Y164" i="65"/>
  <c r="Y166" i="65"/>
  <c r="U83" i="65"/>
  <c r="U171" i="65"/>
  <c r="V169" i="65"/>
  <c r="W169" i="65"/>
  <c r="X169" i="65"/>
  <c r="Y169" i="65"/>
  <c r="Y172" i="65"/>
  <c r="Y173" i="65"/>
  <c r="AB82" i="65"/>
  <c r="AC160" i="65"/>
  <c r="AD160" i="65"/>
  <c r="AE160" i="65"/>
  <c r="AF160" i="65"/>
  <c r="AF164" i="65"/>
  <c r="AF166" i="65"/>
  <c r="AB83" i="65"/>
  <c r="AB171" i="65"/>
  <c r="AC169" i="65"/>
  <c r="AD169" i="65"/>
  <c r="AE169" i="65"/>
  <c r="AF169" i="65"/>
  <c r="AF172" i="65"/>
  <c r="AF173" i="65"/>
  <c r="X164" i="65"/>
  <c r="X166" i="65"/>
  <c r="X172" i="65"/>
  <c r="X173" i="65"/>
  <c r="AE164" i="65"/>
  <c r="AE166" i="65"/>
  <c r="AE172" i="65"/>
  <c r="AE173" i="65"/>
  <c r="W164" i="65"/>
  <c r="W166" i="65"/>
  <c r="W172" i="65"/>
  <c r="W173" i="65"/>
  <c r="AD164" i="65"/>
  <c r="AD166" i="65"/>
  <c r="AD172" i="65"/>
  <c r="AD173" i="65"/>
  <c r="V164" i="65"/>
  <c r="V166" i="65"/>
  <c r="V172" i="65"/>
  <c r="V173" i="65"/>
  <c r="AC164" i="65"/>
  <c r="AC166" i="65"/>
  <c r="AC172" i="65"/>
  <c r="AC173" i="65"/>
  <c r="U172" i="65"/>
  <c r="U173" i="65"/>
  <c r="AB172" i="65"/>
  <c r="AB173" i="65"/>
  <c r="AH171" i="65"/>
  <c r="AC98" i="65"/>
  <c r="O98" i="65"/>
  <c r="O99" i="65"/>
  <c r="O116" i="65"/>
  <c r="O118" i="65"/>
  <c r="P117" i="65"/>
  <c r="P118" i="65"/>
  <c r="Q117" i="65"/>
  <c r="Q118" i="65"/>
  <c r="R117" i="65"/>
  <c r="R118" i="65"/>
  <c r="R140" i="65"/>
  <c r="R141" i="65"/>
  <c r="R153" i="65"/>
  <c r="R154" i="65"/>
  <c r="AC99" i="65"/>
  <c r="AC116" i="65"/>
  <c r="AC118" i="65"/>
  <c r="AD117" i="65"/>
  <c r="AD118" i="65"/>
  <c r="AE117" i="65"/>
  <c r="AE118" i="65"/>
  <c r="AF117" i="65"/>
  <c r="AF118" i="65"/>
  <c r="AF140" i="65"/>
  <c r="AF141" i="65"/>
  <c r="AF153" i="65"/>
  <c r="AF154" i="65"/>
  <c r="AL154" i="65"/>
  <c r="Q140" i="65"/>
  <c r="Q141" i="65"/>
  <c r="Q153" i="65"/>
  <c r="Q154" i="65"/>
  <c r="AE140" i="65"/>
  <c r="AE141" i="65"/>
  <c r="AE153" i="65"/>
  <c r="AE154" i="65"/>
  <c r="AK154" i="65"/>
  <c r="P140" i="65"/>
  <c r="P141" i="65"/>
  <c r="P153" i="65"/>
  <c r="P154" i="65"/>
  <c r="AD140" i="65"/>
  <c r="AD141" i="65"/>
  <c r="AD153" i="65"/>
  <c r="AD154" i="65"/>
  <c r="AJ154" i="65"/>
  <c r="O140" i="65"/>
  <c r="O141" i="65"/>
  <c r="O153" i="65"/>
  <c r="O154" i="65"/>
  <c r="AC140" i="65"/>
  <c r="AC141" i="65"/>
  <c r="AC153" i="65"/>
  <c r="AC154" i="65"/>
  <c r="AI154" i="65"/>
  <c r="AL153" i="65"/>
  <c r="AK153" i="65"/>
  <c r="AJ153" i="65"/>
  <c r="AI153" i="65"/>
  <c r="AL141" i="65"/>
  <c r="AK141" i="65"/>
  <c r="AJ141" i="65"/>
  <c r="AI141" i="65"/>
  <c r="AL140" i="65"/>
  <c r="AK140" i="65"/>
  <c r="AJ140" i="65"/>
  <c r="AI140" i="65"/>
  <c r="AL118" i="65"/>
  <c r="AK118" i="65"/>
  <c r="AJ118" i="65"/>
  <c r="AI118" i="65"/>
  <c r="AL117" i="65"/>
  <c r="AK117" i="65"/>
  <c r="AJ117" i="65"/>
  <c r="AI116" i="65"/>
  <c r="AI99" i="65"/>
  <c r="AI98" i="65"/>
  <c r="AB84" i="65"/>
  <c r="U84" i="65"/>
  <c r="N84" i="65"/>
  <c r="AH83" i="65"/>
  <c r="AH82" i="65"/>
  <c r="Y1" i="65"/>
  <c r="AF1" i="65"/>
  <c r="X1" i="65"/>
  <c r="AE1" i="65"/>
  <c r="W1" i="65"/>
  <c r="AD1" i="65"/>
  <c r="V1" i="65"/>
  <c r="AC1" i="65"/>
  <c r="U1" i="65"/>
  <c r="AB1" i="65"/>
  <c r="S6" i="51"/>
  <c r="AN7" i="65"/>
  <c r="AH7" i="14"/>
  <c r="F32" i="65"/>
  <c r="F38" i="65"/>
  <c r="G24" i="14"/>
  <c r="S24" i="14"/>
  <c r="S30" i="14"/>
  <c r="G7" i="51"/>
  <c r="S7" i="51"/>
  <c r="S8" i="51"/>
  <c r="S28" i="51"/>
  <c r="G30" i="14"/>
  <c r="G8" i="51"/>
  <c r="G25" i="14"/>
  <c r="G31" i="14"/>
  <c r="G7" i="53"/>
  <c r="G8" i="53"/>
  <c r="S5" i="53"/>
  <c r="S7" i="53"/>
  <c r="S8" i="53"/>
  <c r="F33" i="65"/>
  <c r="F39" i="65"/>
  <c r="S19" i="53"/>
  <c r="S25" i="14"/>
  <c r="S31" i="14"/>
  <c r="S20" i="53"/>
  <c r="AH8" i="14"/>
  <c r="AN8" i="65"/>
  <c r="S10" i="14"/>
  <c r="AN13" i="65"/>
  <c r="AH10" i="14"/>
  <c r="G40" i="52"/>
  <c r="S36" i="52"/>
  <c r="S39" i="52"/>
  <c r="S40" i="52"/>
  <c r="G33" i="14"/>
  <c r="F41" i="65"/>
  <c r="S27" i="14"/>
  <c r="S33" i="14"/>
  <c r="G65" i="14"/>
  <c r="F78" i="65"/>
  <c r="G74" i="14"/>
  <c r="G75" i="14"/>
  <c r="S74" i="14"/>
  <c r="S75" i="14"/>
  <c r="G70" i="14"/>
  <c r="G71" i="14"/>
  <c r="AH27" i="14"/>
  <c r="S64" i="14"/>
  <c r="AH64" i="14"/>
  <c r="S65" i="14"/>
  <c r="AH65" i="14"/>
  <c r="S68" i="14"/>
  <c r="AH68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AH70" i="14"/>
  <c r="S71" i="14"/>
  <c r="AH71" i="14"/>
  <c r="G1" i="65"/>
  <c r="N160" i="65"/>
  <c r="N164" i="65"/>
  <c r="N166" i="65"/>
  <c r="N169" i="65"/>
  <c r="N172" i="65"/>
  <c r="N173" i="65"/>
  <c r="N1" i="65"/>
  <c r="AH1" i="65"/>
  <c r="H1" i="65"/>
  <c r="O160" i="65"/>
  <c r="O164" i="65"/>
  <c r="O166" i="65"/>
  <c r="O169" i="65"/>
  <c r="O172" i="65"/>
  <c r="O173" i="65"/>
  <c r="O1" i="65"/>
  <c r="AI1" i="65"/>
  <c r="I1" i="65"/>
  <c r="P160" i="65"/>
  <c r="P164" i="65"/>
  <c r="P166" i="65"/>
  <c r="P169" i="65"/>
  <c r="P172" i="65"/>
  <c r="P173" i="65"/>
  <c r="P1" i="65"/>
  <c r="AJ1" i="65"/>
  <c r="J1" i="65"/>
  <c r="Q160" i="65"/>
  <c r="Q164" i="65"/>
  <c r="Q166" i="65"/>
  <c r="Q169" i="65"/>
  <c r="Q172" i="65"/>
  <c r="Q173" i="65"/>
  <c r="Q1" i="65"/>
  <c r="AK1" i="65"/>
  <c r="K1" i="65"/>
  <c r="R160" i="65"/>
  <c r="R164" i="65"/>
  <c r="R166" i="65"/>
  <c r="R169" i="65"/>
  <c r="R172" i="65"/>
  <c r="R173" i="65"/>
  <c r="R1" i="65"/>
  <c r="AL1" i="65"/>
  <c r="AI169" i="65"/>
  <c r="AJ169" i="65"/>
  <c r="AK169" i="65"/>
  <c r="AL169" i="65"/>
  <c r="AH172" i="65"/>
  <c r="AI172" i="65"/>
  <c r="AJ172" i="65"/>
  <c r="AK172" i="65"/>
  <c r="AL172" i="65"/>
  <c r="AH173" i="65"/>
  <c r="AI173" i="65"/>
  <c r="AJ173" i="65"/>
  <c r="AK173" i="65"/>
  <c r="AL173" i="65"/>
  <c r="F1" i="65"/>
  <c r="AH169" i="65"/>
  <c r="S21" i="14"/>
  <c r="AH160" i="65"/>
  <c r="AI160" i="65"/>
  <c r="AJ160" i="65"/>
  <c r="AK160" i="65"/>
  <c r="AL160" i="65"/>
  <c r="AH164" i="65"/>
  <c r="AI164" i="65"/>
  <c r="AJ164" i="65"/>
  <c r="AK164" i="65"/>
  <c r="AL164" i="65"/>
  <c r="AH166" i="65"/>
  <c r="AI166" i="65"/>
  <c r="AJ166" i="65"/>
  <c r="AK166" i="65"/>
  <c r="AL166" i="65"/>
  <c r="AH69" i="14"/>
  <c r="H69" i="57"/>
  <c r="H70" i="57"/>
  <c r="I69" i="57"/>
  <c r="I70" i="57"/>
  <c r="J69" i="57"/>
  <c r="J70" i="57"/>
  <c r="K69" i="57"/>
  <c r="K70" i="57"/>
  <c r="L69" i="57"/>
  <c r="L70" i="57"/>
  <c r="M69" i="57"/>
  <c r="M70" i="57"/>
  <c r="N69" i="57"/>
  <c r="N70" i="57"/>
  <c r="O69" i="57"/>
  <c r="O70" i="57"/>
  <c r="P69" i="57"/>
  <c r="P70" i="57"/>
  <c r="Q69" i="57"/>
  <c r="Q70" i="57"/>
  <c r="R69" i="57"/>
  <c r="R70" i="57"/>
  <c r="S70" i="57"/>
  <c r="S71" i="57"/>
  <c r="N71" i="57"/>
  <c r="Q65" i="14"/>
  <c r="Q71" i="14"/>
  <c r="Q75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S29" i="14"/>
  <c r="L71" i="14"/>
  <c r="L65" i="14"/>
  <c r="N75" i="14"/>
  <c r="N71" i="14"/>
  <c r="N65" i="14"/>
  <c r="I71" i="14"/>
  <c r="I65" i="14"/>
  <c r="J71" i="14"/>
  <c r="J65" i="14"/>
  <c r="M75" i="14"/>
  <c r="M71" i="14"/>
  <c r="M65" i="14"/>
  <c r="S18" i="14"/>
  <c r="F31" i="65"/>
  <c r="F37" i="65"/>
  <c r="Q33" i="14"/>
  <c r="K71" i="14"/>
  <c r="K65" i="14"/>
  <c r="R75" i="14"/>
  <c r="R71" i="14"/>
  <c r="R65" i="14"/>
  <c r="O71" i="14"/>
  <c r="O75" i="14"/>
  <c r="O65" i="14"/>
  <c r="N33" i="14"/>
  <c r="L33" i="14"/>
  <c r="P71" i="14"/>
  <c r="P65" i="14"/>
  <c r="P75" i="14"/>
  <c r="O33" i="14"/>
  <c r="I33" i="14"/>
  <c r="R33" i="14"/>
  <c r="I71" i="57"/>
  <c r="M33" i="14"/>
  <c r="O71" i="57"/>
  <c r="J33" i="14"/>
  <c r="K33" i="14"/>
  <c r="L29" i="14"/>
  <c r="S69" i="57"/>
  <c r="M29" i="14"/>
  <c r="N29" i="14"/>
  <c r="O29" i="14"/>
  <c r="P33" i="14"/>
  <c r="H71" i="14"/>
  <c r="H65" i="14"/>
  <c r="H29" i="14"/>
  <c r="K29" i="14"/>
  <c r="H33" i="14"/>
  <c r="R29" i="14"/>
  <c r="P29" i="14"/>
  <c r="Q29" i="14"/>
  <c r="I29" i="14"/>
  <c r="H71" i="57"/>
  <c r="M71" i="57"/>
  <c r="L71" i="57"/>
  <c r="J71" i="57"/>
  <c r="K71" i="57"/>
  <c r="R71" i="57"/>
  <c r="Q71" i="57"/>
  <c r="P71" i="57"/>
  <c r="J29" i="14"/>
  <c r="N98" i="65"/>
  <c r="AH98" i="65"/>
  <c r="G29" i="14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S10" i="52"/>
  <c r="S11" i="52"/>
  <c r="G10" i="52"/>
  <c r="G11" i="52"/>
  <c r="H10" i="52"/>
  <c r="H11" i="52"/>
  <c r="I10" i="52"/>
  <c r="I11" i="52"/>
  <c r="J10" i="52"/>
  <c r="J11" i="52"/>
  <c r="K10" i="52"/>
  <c r="K11" i="52"/>
  <c r="L10" i="52"/>
  <c r="L11" i="52"/>
  <c r="M10" i="52"/>
  <c r="M11" i="52"/>
  <c r="N10" i="52"/>
  <c r="N11" i="52"/>
  <c r="O10" i="52"/>
  <c r="O11" i="52"/>
  <c r="P10" i="52"/>
  <c r="P11" i="52"/>
  <c r="Q10" i="52"/>
  <c r="Q11" i="52"/>
  <c r="R10" i="52"/>
  <c r="R11" i="52"/>
</calcChain>
</file>

<file path=xl/sharedStrings.xml><?xml version="1.0" encoding="utf-8"?>
<sst xmlns="http://schemas.openxmlformats.org/spreadsheetml/2006/main" count="4146" uniqueCount="586">
  <si>
    <t>rok</t>
  </si>
  <si>
    <t>Tržby</t>
  </si>
  <si>
    <t>Hrubý zisk</t>
  </si>
  <si>
    <t>Daň z příjmu</t>
  </si>
  <si>
    <t>Ostatní provozní výnosy</t>
  </si>
  <si>
    <t>Ostatní provozní náklady</t>
  </si>
  <si>
    <t>Hrubá marže - služby</t>
  </si>
  <si>
    <t>Hrubá marže - zboží</t>
  </si>
  <si>
    <t>Hrubý zisk - služby</t>
  </si>
  <si>
    <t>Hrubý zisk - zboží</t>
  </si>
  <si>
    <t>Hrubá marže</t>
  </si>
  <si>
    <t>Celkem</t>
  </si>
  <si>
    <t>Finanční náklady</t>
  </si>
  <si>
    <t>Finanční výnosy</t>
  </si>
  <si>
    <t>Provozní režie</t>
  </si>
  <si>
    <t>Odborné služby</t>
  </si>
  <si>
    <t>Pojištění</t>
  </si>
  <si>
    <t>527 a 528</t>
  </si>
  <si>
    <t>527b</t>
  </si>
  <si>
    <t>548a</t>
  </si>
  <si>
    <t>518f</t>
  </si>
  <si>
    <t>501a</t>
  </si>
  <si>
    <t>511a</t>
  </si>
  <si>
    <t>548?</t>
  </si>
  <si>
    <t>osobni n.</t>
  </si>
  <si>
    <t>auta</t>
  </si>
  <si>
    <t>Hrubá mzda</t>
  </si>
  <si>
    <t>Bonusy</t>
  </si>
  <si>
    <t>Hrubá mzda a bonusy</t>
  </si>
  <si>
    <t>Skoleni rocni</t>
  </si>
  <si>
    <t>SPZ</t>
  </si>
  <si>
    <t>Značka</t>
  </si>
  <si>
    <t>Odpisy</t>
  </si>
  <si>
    <t>Nájem</t>
  </si>
  <si>
    <t>Druh paliva</t>
  </si>
  <si>
    <t>1-benzin      2-nafta</t>
  </si>
  <si>
    <t>Spotreba PHM</t>
  </si>
  <si>
    <t>km/    mesic</t>
  </si>
  <si>
    <t>Silnicni dan</t>
  </si>
  <si>
    <t>Opravy a udrzovani</t>
  </si>
  <si>
    <t>Pojisteni (hav+pov+sklo)</t>
  </si>
  <si>
    <t>Stravenky a lek. prohlídka</t>
  </si>
  <si>
    <t>Socialni</t>
  </si>
  <si>
    <t>Zdravotni</t>
  </si>
  <si>
    <t>Skoleni</t>
  </si>
  <si>
    <t>Najem</t>
  </si>
  <si>
    <t>PHM</t>
  </si>
  <si>
    <t>Opravy a udrz.</t>
  </si>
  <si>
    <t>Provozni naklady</t>
  </si>
  <si>
    <t>Pojisteni aut</t>
  </si>
  <si>
    <t>Dalnicni znamky</t>
  </si>
  <si>
    <t>měsíční</t>
  </si>
  <si>
    <t>3-bez_PHM</t>
  </si>
  <si>
    <t>za rok</t>
  </si>
  <si>
    <t>Obchod a Marketing</t>
  </si>
  <si>
    <t>IČO</t>
  </si>
  <si>
    <t>fakturace</t>
  </si>
  <si>
    <t>Celkem investice</t>
  </si>
  <si>
    <t>průměr  l/100km</t>
  </si>
  <si>
    <t>Školení</t>
  </si>
  <si>
    <t>Marketing</t>
  </si>
  <si>
    <t>Variabilní náklady</t>
  </si>
  <si>
    <t>Poprodejní služby</t>
  </si>
  <si>
    <t>Administrativa</t>
  </si>
  <si>
    <t>Nákup a Logistika</t>
  </si>
  <si>
    <t>Výroba</t>
  </si>
  <si>
    <t>TPV</t>
  </si>
  <si>
    <t>Dělení</t>
  </si>
  <si>
    <t>Svařovna</t>
  </si>
  <si>
    <t>Obrobna</t>
  </si>
  <si>
    <t>Konstrukce</t>
  </si>
  <si>
    <t>Zákaznické centrum</t>
  </si>
  <si>
    <t>Externí montáže</t>
  </si>
  <si>
    <t>Školení zákazníků</t>
  </si>
  <si>
    <t>Řezivo</t>
  </si>
  <si>
    <t>Kvalita</t>
  </si>
  <si>
    <t>Skalka</t>
  </si>
  <si>
    <t>Plán 2017-2018</t>
  </si>
  <si>
    <t>(CZK)</t>
  </si>
  <si>
    <t>akt</t>
  </si>
  <si>
    <t>Tržby - výrobky</t>
  </si>
  <si>
    <t>Tržby - služby</t>
  </si>
  <si>
    <t>Tržby - zboží</t>
  </si>
  <si>
    <t>Tržby - řezivo</t>
  </si>
  <si>
    <t>Tržby - nájem</t>
  </si>
  <si>
    <t>Přímý materiál - výroba</t>
  </si>
  <si>
    <t>Přímé mzdy - výroba</t>
  </si>
  <si>
    <t>Kooperace - výroba</t>
  </si>
  <si>
    <t>Variabilní náklady - výroba</t>
  </si>
  <si>
    <t>Přímý materiál - služby</t>
  </si>
  <si>
    <t>Přímé mzdy - služby</t>
  </si>
  <si>
    <t>Kooperace - služby</t>
  </si>
  <si>
    <t>Variabilní náklady - služby</t>
  </si>
  <si>
    <t>Náklady prodeje - zboží</t>
  </si>
  <si>
    <t>Náklady prodeje - řezivo</t>
  </si>
  <si>
    <t>Hrubý zisk - výroba</t>
  </si>
  <si>
    <t>Hrubý zisk - řezivo</t>
  </si>
  <si>
    <t>Hrubá marže - výroba</t>
  </si>
  <si>
    <t>Hrubá marže - řezivo</t>
  </si>
  <si>
    <t>Režijní materiál - provoz</t>
  </si>
  <si>
    <t>Energie - provoz</t>
  </si>
  <si>
    <t>Opravy a udržování - provoz</t>
  </si>
  <si>
    <t>Pronájem zařízení</t>
  </si>
  <si>
    <t>Odpisy - provoz</t>
  </si>
  <si>
    <t>Režijní materiál - nemovitosti</t>
  </si>
  <si>
    <t>Energie - nemovitosti</t>
  </si>
  <si>
    <t>Opravy o udržování - nemovitosti</t>
  </si>
  <si>
    <t>Ostraha - nemovitosti</t>
  </si>
  <si>
    <t>Daně - majetek</t>
  </si>
  <si>
    <t>Odpady - nemovitosti</t>
  </si>
  <si>
    <t>Pojistění - nemovitosti</t>
  </si>
  <si>
    <t>Odpisy - nemovitosti</t>
  </si>
  <si>
    <t>Správa a údržba nemovitostí</t>
  </si>
  <si>
    <t>Doprava a skladování</t>
  </si>
  <si>
    <t>Rezervy a odpisy pohledávek</t>
  </si>
  <si>
    <t>Mzdové náklady - režie</t>
  </si>
  <si>
    <t>Cestovné a pohoštění</t>
  </si>
  <si>
    <t>Firemní vozy</t>
  </si>
  <si>
    <t>IT</t>
  </si>
  <si>
    <t>Odpisy - režie</t>
  </si>
  <si>
    <t>Ostatní správní náklady</t>
  </si>
  <si>
    <t>Odbyt a administrativa</t>
  </si>
  <si>
    <t>Provozní zisk</t>
  </si>
  <si>
    <t>Provozní marže</t>
  </si>
  <si>
    <t>Zisk před zdaněním</t>
  </si>
  <si>
    <t>Čistý zisk</t>
  </si>
  <si>
    <t>Rentabilita tržeb</t>
  </si>
  <si>
    <t>Odpisy celkem</t>
  </si>
  <si>
    <t>EBITDA</t>
  </si>
  <si>
    <t>EBITDA %</t>
  </si>
  <si>
    <t>měsíc</t>
  </si>
  <si>
    <t>FC</t>
  </si>
  <si>
    <t>Plán</t>
  </si>
  <si>
    <t>plán</t>
  </si>
  <si>
    <t>Správa majetku</t>
  </si>
  <si>
    <t>Opravy a repasy</t>
  </si>
  <si>
    <t>průměrná cena</t>
  </si>
  <si>
    <t>počet</t>
  </si>
  <si>
    <t>Číslo střediska</t>
  </si>
  <si>
    <t>Název střediska</t>
  </si>
  <si>
    <t>%</t>
  </si>
  <si>
    <t>Pracovní poměr</t>
  </si>
  <si>
    <t>D - Výrobní dělník                     R - Režijní dělník      THP - Administrativa</t>
  </si>
  <si>
    <t>Finance</t>
  </si>
  <si>
    <t>HPP</t>
  </si>
  <si>
    <t>THP</t>
  </si>
  <si>
    <t>D</t>
  </si>
  <si>
    <t>R</t>
  </si>
  <si>
    <t>Kompletace</t>
  </si>
  <si>
    <t>Vedení</t>
  </si>
  <si>
    <t>Vývoj a konstrukce</t>
  </si>
  <si>
    <t>Úvazek</t>
  </si>
  <si>
    <t>Zodpovědná osoba</t>
  </si>
  <si>
    <t>HM - základ</t>
  </si>
  <si>
    <t>Variabilní část</t>
  </si>
  <si>
    <t>Variabilní část %</t>
  </si>
  <si>
    <t>Hodinová mzda</t>
  </si>
  <si>
    <t>Druh</t>
  </si>
  <si>
    <t>Nákladní</t>
  </si>
  <si>
    <t>Osobní</t>
  </si>
  <si>
    <t>nafta</t>
  </si>
  <si>
    <t>Majetek</t>
  </si>
  <si>
    <t>ODPISY</t>
  </si>
  <si>
    <t>Hlavní účetní</t>
  </si>
  <si>
    <t>Skupina</t>
  </si>
  <si>
    <t>Název skupiny</t>
  </si>
  <si>
    <t>Školení povinné</t>
  </si>
  <si>
    <t>Školení nepovinné</t>
  </si>
  <si>
    <t>Pronájem přístrojů a výrobků</t>
  </si>
  <si>
    <t>Výhled 17-2020</t>
  </si>
  <si>
    <t>Hrubý zisk - nájem</t>
  </si>
  <si>
    <t>efektivní sazba daně</t>
  </si>
  <si>
    <t>Hrubá marže - nájem</t>
  </si>
  <si>
    <t>Rezervy a odpisy zásob</t>
  </si>
  <si>
    <t>Celkem změna</t>
  </si>
  <si>
    <t>cerven</t>
  </si>
  <si>
    <t>Celkem přes sklad</t>
  </si>
  <si>
    <t>NEŠLO PŘES SKLAD-VÝROBKY</t>
  </si>
  <si>
    <t>CELKEM</t>
  </si>
  <si>
    <t>NEŠLO PŘES SKLAD - ZBOŽÍ</t>
  </si>
  <si>
    <t>SLU001</t>
  </si>
  <si>
    <t>SLU002</t>
  </si>
  <si>
    <t>SLU003</t>
  </si>
  <si>
    <t>SLU004</t>
  </si>
  <si>
    <t>SLU005</t>
  </si>
  <si>
    <t>SLU006</t>
  </si>
  <si>
    <t>SLU007</t>
  </si>
  <si>
    <t>% z ceny zboží a výrobků</t>
  </si>
  <si>
    <t>cena zboží a výrobků</t>
  </si>
  <si>
    <t>SLU008</t>
  </si>
  <si>
    <t>Tržby z přefakturace dopravy zboží</t>
  </si>
  <si>
    <t>druh</t>
  </si>
  <si>
    <t>Nájemce</t>
  </si>
  <si>
    <t>výměra m2</t>
  </si>
  <si>
    <t>Kč/m2</t>
  </si>
  <si>
    <t>měsíční nájem</t>
  </si>
  <si>
    <t>Nový nájemník 1</t>
  </si>
  <si>
    <t>Nový nájemník 2</t>
  </si>
  <si>
    <t>Nový nájemník 3</t>
  </si>
  <si>
    <t>Nový nájemník 4</t>
  </si>
  <si>
    <t>Nový nájemník 5</t>
  </si>
  <si>
    <t>Nový nájemník 6</t>
  </si>
  <si>
    <t>Číslo úseku</t>
  </si>
  <si>
    <t>Úsek</t>
  </si>
  <si>
    <t>Personalistika</t>
  </si>
  <si>
    <t>Obchod</t>
  </si>
  <si>
    <t>Nákup</t>
  </si>
  <si>
    <t>Logistika</t>
  </si>
  <si>
    <t>Šití balónů</t>
  </si>
  <si>
    <t>Vývoj a inovace</t>
  </si>
  <si>
    <t>Guma</t>
  </si>
  <si>
    <t>52x</t>
  </si>
  <si>
    <t>pouze osobní náklady</t>
  </si>
  <si>
    <t>školení</t>
  </si>
  <si>
    <t>pojištění</t>
  </si>
  <si>
    <t>Fakturace</t>
  </si>
  <si>
    <t>PŘEHLED PO STŘEDISCÍCH</t>
  </si>
  <si>
    <t>Inv. číslo</t>
  </si>
  <si>
    <t>číslo střediska</t>
  </si>
  <si>
    <t>Pořizovací cena</t>
  </si>
  <si>
    <t>název střediska</t>
  </si>
  <si>
    <t>5zry</t>
  </si>
  <si>
    <t>30 let</t>
  </si>
  <si>
    <t>3zry</t>
  </si>
  <si>
    <t>2zry</t>
  </si>
  <si>
    <t>2rov</t>
  </si>
  <si>
    <t>3rov</t>
  </si>
  <si>
    <t>4roky</t>
  </si>
  <si>
    <t>odp. skupina</t>
  </si>
  <si>
    <t>CELKEM ODPISY - SOUČASNÝ MAJETEK</t>
  </si>
  <si>
    <t>PŘEHLED PO ÚČTECH</t>
  </si>
  <si>
    <t>rok pořízení</t>
  </si>
  <si>
    <t>INVESTIČNÍ PLÁN 2018-2020</t>
  </si>
  <si>
    <t>518 a 501</t>
  </si>
  <si>
    <t>Kapaliny parko GPS</t>
  </si>
  <si>
    <t>celkem</t>
  </si>
  <si>
    <t>firemni vozy bez odpisu</t>
  </si>
  <si>
    <t>Jméno zaměstnance</t>
  </si>
  <si>
    <t>Plán odborných služeb</t>
  </si>
  <si>
    <t>Dodavatel</t>
  </si>
  <si>
    <t>Služba</t>
  </si>
  <si>
    <t>CELKEM odborné služby</t>
  </si>
  <si>
    <t>Účetnictví, finanční management, personální řízení</t>
  </si>
  <si>
    <t>Právní poradenství</t>
  </si>
  <si>
    <t>Daňové poradenství</t>
  </si>
  <si>
    <t>DPPO</t>
  </si>
  <si>
    <t>Outsourcing IT služeb</t>
  </si>
  <si>
    <t>v 2018 se nebude používat</t>
  </si>
  <si>
    <t>Název investice/priorita I.-III.</t>
  </si>
  <si>
    <t>Rekonstrukce výrobní haly - I</t>
  </si>
  <si>
    <t>2018 2q</t>
  </si>
  <si>
    <t>plus vybaveni stolu a vybaveni mont. aut</t>
  </si>
  <si>
    <t>Funkce</t>
  </si>
  <si>
    <t>Skladník</t>
  </si>
  <si>
    <t>Plán IT</t>
  </si>
  <si>
    <t>Telefony</t>
  </si>
  <si>
    <t>Plán Marketingu</t>
  </si>
  <si>
    <t>zivotnost</t>
  </si>
  <si>
    <t>nové investice</t>
  </si>
  <si>
    <t>nove vozy</t>
  </si>
  <si>
    <t>kurzove rozdily se neplanuji</t>
  </si>
  <si>
    <t>BOZP</t>
  </si>
  <si>
    <t>Monitor pro hlavní účetní</t>
  </si>
  <si>
    <t>PC/NB pro obchodního zástupce</t>
  </si>
  <si>
    <t>Tiskárna - sklad</t>
  </si>
  <si>
    <t>DAUC</t>
  </si>
  <si>
    <t xml:space="preserve"> Výkaz zisků a ztrát (CZK)</t>
  </si>
  <si>
    <t>Cash Flow (CZK)</t>
  </si>
  <si>
    <t>Tržby od zákazníků</t>
  </si>
  <si>
    <t>Platby za materiál</t>
  </si>
  <si>
    <t>Platby za zboží</t>
  </si>
  <si>
    <t>Platby za kooperace</t>
  </si>
  <si>
    <t>Platby za řezivo</t>
  </si>
  <si>
    <t>DPH</t>
  </si>
  <si>
    <t>Cash Flow z provozní činnosti</t>
  </si>
  <si>
    <t>Cash Flow z investiční činnosti</t>
  </si>
  <si>
    <t>Investice</t>
  </si>
  <si>
    <t>Prodej majetku</t>
  </si>
  <si>
    <t>Dotace</t>
  </si>
  <si>
    <t>Nákup obchodních podílů</t>
  </si>
  <si>
    <t>Prodej obchodních podílů</t>
  </si>
  <si>
    <t>Placené úroky</t>
  </si>
  <si>
    <t>Cash Flow z finanční činnosti</t>
  </si>
  <si>
    <t>Navýšení základního kapitálu</t>
  </si>
  <si>
    <t>Výplaty podílů na zisku</t>
  </si>
  <si>
    <t>Půjčky od společníků</t>
  </si>
  <si>
    <t>Splátky půjček od společníků</t>
  </si>
  <si>
    <t>Půjčky od třetích stran</t>
  </si>
  <si>
    <t>Splátky půjček třetím stranám</t>
  </si>
  <si>
    <t>Úvěry od bank</t>
  </si>
  <si>
    <t>Splátky úvěrů od bank</t>
  </si>
  <si>
    <t>CASH FLOW CELKEM</t>
  </si>
  <si>
    <t>CASH - Počáteční zůstatek</t>
  </si>
  <si>
    <t>CASH - Konečný zůstatek</t>
  </si>
  <si>
    <t>Úroky získané</t>
  </si>
  <si>
    <t>Rozvaha (CZK)</t>
  </si>
  <si>
    <t>01x</t>
  </si>
  <si>
    <t>Dlouhodobý nehmotný majetek</t>
  </si>
  <si>
    <t>031x</t>
  </si>
  <si>
    <t>Pozemky</t>
  </si>
  <si>
    <t>021x</t>
  </si>
  <si>
    <t>Stavby</t>
  </si>
  <si>
    <t>022x</t>
  </si>
  <si>
    <t>Ostatní hmotný majetek</t>
  </si>
  <si>
    <t>041x</t>
  </si>
  <si>
    <t>Pořízení</t>
  </si>
  <si>
    <t>052x</t>
  </si>
  <si>
    <t>Poskytnuté zálohy na dlouhodobý majetek</t>
  </si>
  <si>
    <t>Dlouhodobý majetek - PC</t>
  </si>
  <si>
    <t>073x</t>
  </si>
  <si>
    <t>Oprávky k dlouhodobému nehmotnému majetku</t>
  </si>
  <si>
    <t>081x</t>
  </si>
  <si>
    <t>Oprávky ke stavbám</t>
  </si>
  <si>
    <t>082x</t>
  </si>
  <si>
    <t>Oprávky k ostatnímu hmotnému majetku</t>
  </si>
  <si>
    <t>Dlouhodobý majetek - Oprávky</t>
  </si>
  <si>
    <t>Dlouhodobý majetek</t>
  </si>
  <si>
    <t>11x</t>
  </si>
  <si>
    <t>Materiál</t>
  </si>
  <si>
    <t>123x</t>
  </si>
  <si>
    <t>Výrobky</t>
  </si>
  <si>
    <t>1320x</t>
  </si>
  <si>
    <t>Zboží</t>
  </si>
  <si>
    <t>1321x</t>
  </si>
  <si>
    <t>19x</t>
  </si>
  <si>
    <t>Opravná položka k zásobám</t>
  </si>
  <si>
    <t>Zásoby</t>
  </si>
  <si>
    <t>21x</t>
  </si>
  <si>
    <t>Peněžní prostředky v pokladně</t>
  </si>
  <si>
    <t>22x</t>
  </si>
  <si>
    <t>Peněžní prostředky na účtech</t>
  </si>
  <si>
    <t>Peněžní prostředky</t>
  </si>
  <si>
    <t>311x</t>
  </si>
  <si>
    <t>Pohledávky (krátkodobé a dlouhodobé)</t>
  </si>
  <si>
    <t>3910x</t>
  </si>
  <si>
    <t>Opravná položka k pohledávkám</t>
  </si>
  <si>
    <t>314x</t>
  </si>
  <si>
    <t>Poskytnuté zálohy</t>
  </si>
  <si>
    <t>315x</t>
  </si>
  <si>
    <t>Poskytnuté půjčky</t>
  </si>
  <si>
    <t>335x</t>
  </si>
  <si>
    <t>Pohledávky za zaměstnanci</t>
  </si>
  <si>
    <t>35x</t>
  </si>
  <si>
    <t>Pohledávky za společníky</t>
  </si>
  <si>
    <t>378x</t>
  </si>
  <si>
    <t>Jiné pohledávky a závazky</t>
  </si>
  <si>
    <t>Krátkodobé pohledávky</t>
  </si>
  <si>
    <t>381x</t>
  </si>
  <si>
    <t>Dohadné účty aktivní</t>
  </si>
  <si>
    <t>395x</t>
  </si>
  <si>
    <t>Ostatní aktiva</t>
  </si>
  <si>
    <t>Oběžná aktiva</t>
  </si>
  <si>
    <t>AKTIVA</t>
  </si>
  <si>
    <t>321x</t>
  </si>
  <si>
    <t>Závazky z obchodních vztahů</t>
  </si>
  <si>
    <t>324x</t>
  </si>
  <si>
    <t>Přijaté zálohy</t>
  </si>
  <si>
    <t>325x</t>
  </si>
  <si>
    <t>Ostatní závazky</t>
  </si>
  <si>
    <t>33x</t>
  </si>
  <si>
    <t>Zúčtování se zaměstnanci a institucemi</t>
  </si>
  <si>
    <t>34x</t>
  </si>
  <si>
    <t>Zúčtování daní a dotací</t>
  </si>
  <si>
    <t>36x</t>
  </si>
  <si>
    <t>Závazky ke společníkům</t>
  </si>
  <si>
    <t>379x</t>
  </si>
  <si>
    <t>383x</t>
  </si>
  <si>
    <t>Krátkodobá pasiva</t>
  </si>
  <si>
    <t>47x</t>
  </si>
  <si>
    <t>Dlouhodobé závazky a přijaté kauce</t>
  </si>
  <si>
    <t>Cizí zdroje</t>
  </si>
  <si>
    <t>411x</t>
  </si>
  <si>
    <t>Základní kapitál</t>
  </si>
  <si>
    <t>421x</t>
  </si>
  <si>
    <t>Ostatní rezervní fondy</t>
  </si>
  <si>
    <t>428x</t>
  </si>
  <si>
    <t>Nerozdělený zisk minulých let</t>
  </si>
  <si>
    <t>431x</t>
  </si>
  <si>
    <t>Výsledek hospodaření ve schvalovacím řízení</t>
  </si>
  <si>
    <t>Zisk(ztráta) běžného období</t>
  </si>
  <si>
    <t>Vlastní zdroje</t>
  </si>
  <si>
    <t>PASIVA</t>
  </si>
  <si>
    <t>Osobní náklady a odvody</t>
  </si>
  <si>
    <t>Obchodní a správní režie</t>
  </si>
  <si>
    <t>Údržba webu</t>
  </si>
  <si>
    <t>Tiskové materiály</t>
  </si>
  <si>
    <t>Reklamní předměty</t>
  </si>
  <si>
    <t xml:space="preserve">Korporátní identita - loga, dopisní papíry, identity, ... </t>
  </si>
  <si>
    <t>PR aktivity</t>
  </si>
  <si>
    <t>Propagace areálu, logo na stožáru, ...</t>
  </si>
  <si>
    <t>Podpora zahraničních partnerů a zahraničních trhů</t>
  </si>
  <si>
    <t>čtečka čárových kódů</t>
  </si>
  <si>
    <t>CELKEM IT</t>
  </si>
  <si>
    <t>Montér, zámečník (montér)</t>
  </si>
  <si>
    <t>Mistr ve výrobě</t>
  </si>
  <si>
    <t>Recepce, zákaznická linka, admin</t>
  </si>
  <si>
    <t>Technolog, konstruktér</t>
  </si>
  <si>
    <t>Eventy, přímá podpora konkrétních zákazníků</t>
  </si>
  <si>
    <t>Veletrhy a konference a školení</t>
  </si>
  <si>
    <t>současný plat</t>
  </si>
  <si>
    <t>Odpisový PLÁN - nové investice</t>
  </si>
  <si>
    <t>Odpisový PLÁN - stávající majetek</t>
  </si>
  <si>
    <t>CELKEM ODPISY - NOVÝ MAJETEK</t>
  </si>
  <si>
    <t>2018 1q</t>
  </si>
  <si>
    <t>2018 3q</t>
  </si>
  <si>
    <t>kontrolní součet</t>
  </si>
  <si>
    <t>současná</t>
  </si>
  <si>
    <t>poskytování kreditních informací</t>
  </si>
  <si>
    <t>Osobní náklady po zaměstnancích</t>
  </si>
  <si>
    <t>prodloužení záruky serveru</t>
  </si>
  <si>
    <t>nové skříně a nářadí; vybaveni 2 novych montaznich vozu-nářadí, nástroje</t>
  </si>
  <si>
    <t>nové investice: techn. dělení potrubí, 2 nové mont, vozy, guma</t>
  </si>
  <si>
    <t>noví lidi, navýšení mezd o 10%</t>
  </si>
  <si>
    <t>náhrady z POVEZ 85%</t>
  </si>
  <si>
    <t>nový ERP systém včetně plánování výroby - I</t>
  </si>
  <si>
    <t>Technologie dělení potrubí (voda) - II (2 mio)</t>
  </si>
  <si>
    <t>Fastra PIPELINE</t>
  </si>
  <si>
    <t>ŘEZIVO</t>
  </si>
  <si>
    <t>FASTRA Majetková a.s.</t>
  </si>
  <si>
    <t>Přímý mat / tržby - výrobky</t>
  </si>
  <si>
    <t>Přímé mzdy / tržby - výrobky</t>
  </si>
  <si>
    <t>18/17</t>
  </si>
  <si>
    <t>19/18</t>
  </si>
  <si>
    <t>20/19</t>
  </si>
  <si>
    <t>21/20</t>
  </si>
  <si>
    <t>22/21</t>
  </si>
  <si>
    <t>Přímé mzdy / tržby - služby</t>
  </si>
  <si>
    <t>rentabilita tržeb 2020-2021</t>
  </si>
  <si>
    <t>2018 - optimalizace nákupu</t>
  </si>
  <si>
    <t>2018 - optimalizace výroby</t>
  </si>
  <si>
    <t>celkové snížení nákladů v 2018 - optimalizace výroby, změna procesu</t>
  </si>
  <si>
    <t>optimalizace v 2018</t>
  </si>
  <si>
    <t>investice 18 mio v 2017</t>
  </si>
  <si>
    <t>2018 - napravení zanedbaného stavu</t>
  </si>
  <si>
    <t>první tendr v 2019</t>
  </si>
  <si>
    <t>2018 - velká mkt kampaň; od 2019 2% z tržeb</t>
  </si>
  <si>
    <t>2018 - narovnání platů k trhu, od 2019 - zvýšení o 3% ročně</t>
  </si>
  <si>
    <t>2018 - one-off služby optimalizace nákupu, tržeb</t>
  </si>
  <si>
    <t>2018 - nový software</t>
  </si>
  <si>
    <t>2018 - souvisí s optimalizací</t>
  </si>
  <si>
    <t>Celkové variab náklady/  celkové tržby</t>
  </si>
  <si>
    <t>Provozní režie / Celkové tržby</t>
  </si>
  <si>
    <t>2018 - one-off napravení zanedbaného stavu</t>
  </si>
  <si>
    <t>Správní režie / Celkové tržby</t>
  </si>
  <si>
    <t>Provozní zisk 2018 - propad díky  investicím</t>
  </si>
  <si>
    <t>checks</t>
  </si>
  <si>
    <t>Podíly</t>
  </si>
  <si>
    <t>MAJETKOVÁ a.s.</t>
  </si>
  <si>
    <t xml:space="preserve"> PIPELINE</t>
  </si>
  <si>
    <t xml:space="preserve"> ŘEZIVO</t>
  </si>
  <si>
    <t>Total</t>
  </si>
  <si>
    <t>Režie Správy nemovitostí/ Celkové tržby</t>
  </si>
  <si>
    <t>Výhled 2017-2020</t>
  </si>
  <si>
    <t>XY GROUP</t>
  </si>
  <si>
    <t>CELKEM areal!</t>
  </si>
  <si>
    <t>Vývojové centrum - I</t>
  </si>
  <si>
    <t>areal1</t>
  </si>
  <si>
    <t>Areal1</t>
  </si>
  <si>
    <t>Areal2</t>
  </si>
  <si>
    <t>aa</t>
  </si>
  <si>
    <t>ab</t>
  </si>
  <si>
    <t>af</t>
  </si>
  <si>
    <t>ah</t>
  </si>
  <si>
    <t>Internet areal1</t>
  </si>
  <si>
    <t>Běžná likvidita</t>
  </si>
  <si>
    <t>Celková zadluženost</t>
  </si>
  <si>
    <t>Doba obratu zásob</t>
  </si>
  <si>
    <t>Doba obratu pohledávek</t>
  </si>
  <si>
    <t>Tržby - zboží zahraničí</t>
  </si>
  <si>
    <t>Tržby - zboží tuzemsko</t>
  </si>
  <si>
    <t>Náklady prodeje - zboží tuzemsko</t>
  </si>
  <si>
    <t>Náklady prodeje - zboží zahraničí</t>
  </si>
  <si>
    <t>Hrubý zisk - zboží zahraničí</t>
  </si>
  <si>
    <t>Hrubý zisk - tuzemsko</t>
  </si>
  <si>
    <t>Hrubá marže - zboží zahraničí</t>
  </si>
  <si>
    <t>Hrubá marže -zboží tuzemsko</t>
  </si>
  <si>
    <t>A</t>
  </si>
  <si>
    <t>B</t>
  </si>
  <si>
    <t>C</t>
  </si>
  <si>
    <t>E</t>
  </si>
  <si>
    <t>A1</t>
  </si>
  <si>
    <t>A2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</si>
  <si>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</si>
  <si>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</si>
  <si>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</si>
  <si>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</si>
  <si>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</si>
  <si>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</si>
  <si>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</si>
  <si>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</si>
  <si>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</si>
  <si>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</si>
  <si>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</si>
  <si>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</si>
  <si>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</si>
  <si>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</si>
  <si>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</si>
  <si>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</si>
  <si>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</si>
  <si>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</si>
  <si>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</si>
  <si>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</si>
  <si>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</si>
  <si>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</si>
  <si>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E6</t>
  </si>
  <si>
    <t>E7</t>
  </si>
  <si>
    <t>E8</t>
  </si>
  <si>
    <t>Externí montáže-I</t>
  </si>
  <si>
    <t>Externí montáže-II</t>
  </si>
  <si>
    <t>Externí montáže-III</t>
  </si>
  <si>
    <t>F</t>
  </si>
  <si>
    <t>F1</t>
  </si>
  <si>
    <t>F2</t>
  </si>
  <si>
    <t>F3</t>
  </si>
  <si>
    <t>G1</t>
  </si>
  <si>
    <t>G2</t>
  </si>
  <si>
    <t>G3</t>
  </si>
  <si>
    <t>G4</t>
  </si>
  <si>
    <t>G5</t>
  </si>
  <si>
    <t>G6</t>
  </si>
  <si>
    <t>G7</t>
  </si>
  <si>
    <t>G8</t>
  </si>
  <si>
    <t>H</t>
  </si>
  <si>
    <t>H1</t>
  </si>
  <si>
    <t>trend stejný</t>
  </si>
  <si>
    <t>Rentabilita aktiv</t>
  </si>
  <si>
    <t>Produktivita (tržby/počet zaměstnanců)</t>
  </si>
  <si>
    <t>Produktivita (PHV/počet zaměstnanců)</t>
  </si>
  <si>
    <t>I</t>
  </si>
  <si>
    <t>I1</t>
  </si>
  <si>
    <t>I2</t>
  </si>
  <si>
    <t>I3</t>
  </si>
  <si>
    <t>I4</t>
  </si>
  <si>
    <t>I5</t>
  </si>
  <si>
    <t>I6</t>
  </si>
  <si>
    <t>Hrubý zisk - zboží tuzemsko</t>
  </si>
  <si>
    <t>Hrubá marže - zboží tuzemsko</t>
  </si>
  <si>
    <t>NEŠLO PŘES SKLAD</t>
  </si>
  <si>
    <t>ERP</t>
  </si>
  <si>
    <t>IM001</t>
  </si>
  <si>
    <t>IM002</t>
  </si>
  <si>
    <t>IM003</t>
  </si>
  <si>
    <t>IM004</t>
  </si>
  <si>
    <t>IM005</t>
  </si>
  <si>
    <t>IM006</t>
  </si>
  <si>
    <t>IM007</t>
  </si>
  <si>
    <t>IM008</t>
  </si>
  <si>
    <t>IM009</t>
  </si>
  <si>
    <t>IM010</t>
  </si>
  <si>
    <t>IM011</t>
  </si>
  <si>
    <t>IM012</t>
  </si>
  <si>
    <t>IM013</t>
  </si>
  <si>
    <t>IM014</t>
  </si>
  <si>
    <t>IM015</t>
  </si>
  <si>
    <t>IM016</t>
  </si>
  <si>
    <t>IM017</t>
  </si>
  <si>
    <t>IM018</t>
  </si>
  <si>
    <t>IM019</t>
  </si>
  <si>
    <t>IM020</t>
  </si>
  <si>
    <t>IM021</t>
  </si>
  <si>
    <t>IM022</t>
  </si>
  <si>
    <t>IM023</t>
  </si>
  <si>
    <t>IM024</t>
  </si>
  <si>
    <t>ODPISY CELKEM</t>
  </si>
  <si>
    <t>Licence současný ERP</t>
  </si>
  <si>
    <t>% z tržeb</t>
  </si>
  <si>
    <t>Obchodník</t>
  </si>
  <si>
    <t>Nákupčí</t>
  </si>
  <si>
    <t>Dělník</t>
  </si>
  <si>
    <t>Hlavní montér</t>
  </si>
  <si>
    <t>nové trhy, noví zákazníci, noví dodavatelé</t>
  </si>
  <si>
    <t>web</t>
  </si>
  <si>
    <t>% DHNM/Aktiva</t>
  </si>
  <si>
    <t>% Zásob/Aktiva</t>
  </si>
  <si>
    <t>% Pohledávek/Aktiva</t>
  </si>
  <si>
    <t>% Peněžních prostředků/Aktiva</t>
  </si>
  <si>
    <t>% Krátkodobých závazků/Pasiva</t>
  </si>
  <si>
    <t>% Dlouhodobých závazků/Pasiva</t>
  </si>
  <si>
    <t>% Vlastního kapitálu/Pasiva</t>
  </si>
  <si>
    <t>Počet zaměstnanců</t>
  </si>
  <si>
    <t>Osobní náklady</t>
  </si>
  <si>
    <t>Průměrný měsíční hrubá mzda</t>
  </si>
  <si>
    <t>% Osobních nákladů / tržby</t>
  </si>
  <si>
    <t>Šití</t>
  </si>
  <si>
    <t>500 ve 2Q, 1000 ve 3q</t>
  </si>
  <si>
    <t>2018 vs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</si>
</sst>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K_č_-;\-* #,##0.00\ _K_č_-;_-* &quot;-&quot;??\ _K_č_-;_-@_-"/>
    <numFmt numFmtId="164" formatCode="_-* #,##0.00\ _C_Z_K_-;\-* #,##0.00\ _C_Z_K_-;_-* &quot;-&quot;??\ _C_Z_K_-;_-@_-"/>
    <numFmt numFmtId="165" formatCode="_(* #,##0.00_);_(* \(#,##0.00\);_(* &quot;-&quot;??_);_(@_)"/>
    <numFmt numFmtId="166" formatCode="#,##0_ ;\-#,##0\ "/>
    <numFmt numFmtId="167" formatCode="0.0%"/>
    <numFmt numFmtId="168" formatCode="[$-409]mmm\-yy;@"/>
    <numFmt numFmtId="169" formatCode="0_ ;\-0\ "/>
    <numFmt numFmtId="170" formatCode="#,##0;\(#,##0\);&quot;&quot;"/>
    <numFmt numFmtId="171" formatCode="0.00_ ;\-0.00\ "/>
    <numFmt numFmtId="172" formatCode="#,##0.00;\(#,##0.00\);&quot;&quot;"/>
    <numFmt numFmtId="173" formatCode="#,##0;\(#,##0\);0"/>
    <numFmt numFmtId="174" formatCode="yyyy"/>
    <numFmt numFmtId="175" formatCode="#,##0.0"/>
    <numFmt numFmtId="176" formatCode="#,##0.0_ ;\-#,##0.0\ "/>
  </numFmts>
  <fonts count="83">
    <font>
      <sz val="10"/>
      <name val="Arial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0"/>
      <color theme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Futura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8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Verdana"/>
    </font>
    <font>
      <b/>
      <sz val="12"/>
      <name val="Verdana"/>
    </font>
    <font>
      <i/>
      <sz val="12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color theme="1"/>
      <name val="Verdana"/>
      <family val="2"/>
      <charset val="238"/>
    </font>
    <font>
      <i/>
      <sz val="12"/>
      <color theme="1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theme="3"/>
      <name val="Verdana"/>
      <family val="2"/>
      <charset val="238"/>
    </font>
    <font>
      <b/>
      <i/>
      <sz val="12"/>
      <color theme="3"/>
      <name val="Verdana"/>
      <family val="2"/>
      <charset val="238"/>
    </font>
    <font>
      <sz val="12"/>
      <color theme="3"/>
      <name val="Verdana"/>
      <family val="2"/>
      <charset val="238"/>
    </font>
    <font>
      <i/>
      <sz val="12"/>
      <color theme="3"/>
      <name val="Verdana"/>
    </font>
    <font>
      <sz val="12"/>
      <color theme="4"/>
      <name val="Calibri"/>
      <scheme val="minor"/>
    </font>
    <font>
      <sz val="10"/>
      <name val="Verdana"/>
    </font>
    <font>
      <b/>
      <sz val="10"/>
      <name val="Verdana"/>
    </font>
    <font>
      <sz val="10"/>
      <color theme="1"/>
      <name val="Verdana"/>
    </font>
    <font>
      <b/>
      <sz val="10"/>
      <color theme="1"/>
      <name val="Verdana"/>
    </font>
    <font>
      <i/>
      <sz val="10"/>
      <name val="Verdana"/>
    </font>
    <font>
      <sz val="10"/>
      <color rgb="FF000000"/>
      <name val="Verdana"/>
    </font>
    <font>
      <sz val="10"/>
      <color theme="3"/>
      <name val="Verdana"/>
    </font>
    <font>
      <i/>
      <sz val="10"/>
      <color theme="3"/>
      <name val="Verdana"/>
    </font>
    <font>
      <sz val="10"/>
      <color rgb="FF0B5E9C"/>
      <name val="Verdana"/>
    </font>
    <font>
      <b/>
      <sz val="10"/>
      <color theme="1"/>
      <name val="Arial"/>
    </font>
    <font>
      <sz val="10"/>
      <color theme="0"/>
      <name val="Arial"/>
    </font>
    <font>
      <b/>
      <sz val="10"/>
      <color theme="0"/>
      <name val="Arial"/>
    </font>
    <font>
      <sz val="10"/>
      <color indexed="8"/>
      <name val="Verdana"/>
    </font>
    <font>
      <b/>
      <sz val="12"/>
      <color indexed="8"/>
      <name val="Verdana"/>
    </font>
    <font>
      <sz val="10"/>
      <color theme="4"/>
      <name val="Verdana"/>
    </font>
    <font>
      <sz val="12"/>
      <color theme="4"/>
      <name val="Verdana"/>
    </font>
    <font>
      <b/>
      <sz val="11"/>
      <color theme="3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3"/>
      <name val="Verdana"/>
      <family val="2"/>
      <charset val="238"/>
    </font>
    <font>
      <sz val="12"/>
      <color rgb="FF080000"/>
      <name val="Verdana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rgb="FFFF0000"/>
      <name val="Verdana"/>
      <family val="2"/>
      <charset val="238"/>
    </font>
    <font>
      <sz val="12"/>
      <name val="Verdana"/>
      <family val="2"/>
      <charset val="238"/>
    </font>
    <font>
      <b/>
      <sz val="12"/>
      <color rgb="FF000000"/>
      <name val="Verdana"/>
      <family val="2"/>
      <charset val="238"/>
    </font>
    <font>
      <sz val="12"/>
      <color rgb="FF08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3" tint="0.39997558519241921"/>
      <name val="Verdana"/>
      <family val="2"/>
      <charset val="238"/>
    </font>
    <font>
      <sz val="12"/>
      <color rgb="FF006100"/>
      <name val="Calibri"/>
      <family val="2"/>
      <charset val="134"/>
    </font>
    <font>
      <sz val="14"/>
      <color rgb="FF006100"/>
      <name val="Calibri"/>
    </font>
    <font>
      <sz val="12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sz val="12"/>
      <name val="Verdana"/>
      <family val="2"/>
    </font>
    <font>
      <b/>
      <i/>
      <sz val="10"/>
      <color theme="1"/>
      <name val="Verdana"/>
    </font>
  </fonts>
  <fills count="4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 tint="-0.499984740745262"/>
        <bgColor theme="6" tint="0.39997558519241921"/>
      </patternFill>
    </fill>
    <fill>
      <patternFill patternType="solid">
        <fgColor rgb="FFFDE3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double">
        <color theme="6" tint="-0.24997711111789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6" tint="0.79998168889431442"/>
      </top>
      <bottom/>
      <diagonal/>
    </border>
  </borders>
  <cellStyleXfs count="3555">
    <xf numFmtId="0" fontId="0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>
      <alignment vertical="center"/>
      <protection hidden="1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5" applyNumberFormat="0" applyFill="0" applyAlignment="0" applyProtection="0"/>
    <xf numFmtId="0" fontId="19" fillId="7" borderId="0" applyNumberFormat="0" applyBorder="0" applyAlignment="0" applyProtection="0"/>
    <xf numFmtId="165" fontId="5" fillId="0" borderId="0" applyFont="0" applyFill="0" applyBorder="0" applyAlignment="0" applyProtection="0"/>
    <xf numFmtId="0" fontId="20" fillId="20" borderId="6" applyNumberFormat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1" borderId="0" applyNumberFormat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10" applyNumberFormat="0" applyFont="0" applyAlignment="0" applyProtection="0"/>
    <xf numFmtId="9" fontId="3" fillId="0" borderId="0" applyFont="0" applyFill="0" applyBorder="0" applyAlignment="0" applyProtection="0"/>
    <xf numFmtId="0" fontId="26" fillId="0" borderId="11" applyNumberFormat="0" applyFill="0" applyAlignment="0" applyProtection="0"/>
    <xf numFmtId="0" fontId="27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11" borderId="12" applyNumberFormat="0" applyAlignment="0" applyProtection="0"/>
    <xf numFmtId="0" fontId="30" fillId="23" borderId="12" applyNumberFormat="0" applyAlignment="0" applyProtection="0"/>
    <xf numFmtId="0" fontId="31" fillId="23" borderId="13" applyNumberFormat="0" applyAlignment="0" applyProtection="0"/>
    <xf numFmtId="0" fontId="32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8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5" fillId="37" borderId="0" applyNumberFormat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6" fillId="0" borderId="0"/>
    <xf numFmtId="0" fontId="67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1">
    <xf numFmtId="0" fontId="0" fillId="0" borderId="0" xfId="0"/>
    <xf numFmtId="0" fontId="10" fillId="0" borderId="0" xfId="4" applyFont="1" applyFill="1"/>
    <xf numFmtId="166" fontId="5" fillId="0" borderId="0" xfId="685" applyNumberFormat="1" applyFont="1" applyFill="1"/>
    <xf numFmtId="0" fontId="14" fillId="0" borderId="0" xfId="686" applyFont="1" applyFill="1" applyAlignment="1">
      <alignment horizontal="center"/>
    </xf>
    <xf numFmtId="0" fontId="14" fillId="3" borderId="0" xfId="686" applyFont="1" applyFill="1" applyAlignment="1">
      <alignment horizontal="center"/>
    </xf>
    <xf numFmtId="168" fontId="11" fillId="4" borderId="2" xfId="687" applyNumberFormat="1" applyFont="1" applyFill="1" applyBorder="1" applyAlignment="1" applyProtection="1">
      <alignment horizontal="right" wrapText="1"/>
    </xf>
    <xf numFmtId="0" fontId="11" fillId="4" borderId="2" xfId="687" applyNumberFormat="1" applyFont="1" applyFill="1" applyBorder="1" applyAlignment="1" applyProtection="1">
      <alignment horizontal="right" wrapText="1"/>
    </xf>
    <xf numFmtId="0" fontId="5" fillId="0" borderId="0" xfId="686" applyFont="1" applyFill="1"/>
    <xf numFmtId="169" fontId="10" fillId="4" borderId="0" xfId="687" applyNumberFormat="1" applyFont="1" applyFill="1" applyBorder="1" applyAlignment="1" applyProtection="1">
      <alignment horizontal="right" wrapText="1"/>
    </xf>
    <xf numFmtId="0" fontId="14" fillId="4" borderId="0" xfId="686" applyFont="1" applyFill="1"/>
    <xf numFmtId="166" fontId="5" fillId="3" borderId="0" xfId="686" applyNumberFormat="1" applyFont="1" applyFill="1"/>
    <xf numFmtId="0" fontId="14" fillId="4" borderId="0" xfId="686" applyFont="1" applyFill="1" applyAlignment="1">
      <alignment wrapText="1"/>
    </xf>
    <xf numFmtId="0" fontId="14" fillId="0" borderId="4" xfId="686" applyFont="1" applyFill="1" applyBorder="1" applyAlignment="1">
      <alignment wrapText="1"/>
    </xf>
    <xf numFmtId="0" fontId="14" fillId="0" borderId="4" xfId="686" applyFont="1" applyFill="1" applyBorder="1" applyAlignment="1">
      <alignment horizontal="center" wrapText="1"/>
    </xf>
    <xf numFmtId="0" fontId="14" fillId="4" borderId="4" xfId="686" applyFont="1" applyFill="1" applyBorder="1" applyAlignment="1">
      <alignment wrapText="1"/>
    </xf>
    <xf numFmtId="0" fontId="14" fillId="0" borderId="0" xfId="686" applyFont="1" applyFill="1" applyBorder="1" applyAlignment="1">
      <alignment horizontal="right" wrapText="1"/>
    </xf>
    <xf numFmtId="168" fontId="10" fillId="4" borderId="1" xfId="687" applyNumberFormat="1" applyFont="1" applyFill="1" applyBorder="1" applyAlignment="1" applyProtection="1">
      <alignment horizontal="right" wrapText="1"/>
    </xf>
    <xf numFmtId="0" fontId="5" fillId="0" borderId="0" xfId="686" applyFont="1" applyFill="1" applyAlignment="1">
      <alignment wrapText="1"/>
    </xf>
    <xf numFmtId="3" fontId="14" fillId="4" borderId="0" xfId="686" applyNumberFormat="1" applyFont="1" applyFill="1" applyAlignment="1">
      <alignment wrapText="1"/>
    </xf>
    <xf numFmtId="166" fontId="11" fillId="4" borderId="0" xfId="687" applyNumberFormat="1" applyFont="1" applyFill="1" applyBorder="1" applyAlignment="1" applyProtection="1">
      <alignment horizontal="right" wrapText="1"/>
    </xf>
    <xf numFmtId="0" fontId="14" fillId="0" borderId="0" xfId="686" applyFont="1" applyFill="1" applyAlignment="1">
      <alignment wrapText="1"/>
    </xf>
    <xf numFmtId="3" fontId="5" fillId="3" borderId="0" xfId="687" applyNumberFormat="1" applyFont="1" applyFill="1"/>
    <xf numFmtId="0" fontId="10" fillId="3" borderId="4" xfId="687" applyFont="1" applyFill="1" applyBorder="1" applyAlignment="1">
      <alignment horizontal="right" wrapText="1"/>
    </xf>
    <xf numFmtId="0" fontId="15" fillId="3" borderId="4" xfId="687" applyNumberFormat="1" applyFont="1" applyFill="1" applyBorder="1" applyAlignment="1">
      <alignment horizontal="center"/>
    </xf>
    <xf numFmtId="0" fontId="15" fillId="3" borderId="4" xfId="687" applyNumberFormat="1" applyFont="1" applyFill="1" applyBorder="1"/>
    <xf numFmtId="166" fontId="5" fillId="3" borderId="4" xfId="686" applyNumberFormat="1" applyFont="1" applyFill="1" applyBorder="1"/>
    <xf numFmtId="166" fontId="5" fillId="3" borderId="0" xfId="686" applyNumberFormat="1" applyFont="1" applyFill="1" applyBorder="1"/>
    <xf numFmtId="0" fontId="5" fillId="0" borderId="0" xfId="687" applyFont="1" applyBorder="1" applyAlignment="1">
      <alignment horizontal="center"/>
    </xf>
    <xf numFmtId="0" fontId="5" fillId="0" borderId="0" xfId="687" applyFont="1" applyBorder="1"/>
    <xf numFmtId="0" fontId="5" fillId="3" borderId="0" xfId="686" applyFont="1" applyFill="1" applyBorder="1"/>
    <xf numFmtId="0" fontId="5" fillId="0" borderId="0" xfId="687" applyFont="1"/>
    <xf numFmtId="0" fontId="5" fillId="0" borderId="0" xfId="687" applyFont="1" applyAlignment="1">
      <alignment horizontal="center"/>
    </xf>
    <xf numFmtId="0" fontId="5" fillId="3" borderId="0" xfId="686" applyFont="1" applyFill="1"/>
    <xf numFmtId="0" fontId="5" fillId="0" borderId="0" xfId="687" applyFont="1" applyFill="1" applyBorder="1"/>
    <xf numFmtId="0" fontId="5" fillId="0" borderId="0" xfId="687" applyFont="1" applyFill="1"/>
    <xf numFmtId="3" fontId="5" fillId="3" borderId="4" xfId="688" applyNumberFormat="1" applyFont="1" applyFill="1" applyBorder="1"/>
    <xf numFmtId="170" fontId="36" fillId="0" borderId="0" xfId="0" applyNumberFormat="1" applyFont="1" applyFill="1" applyAlignment="1">
      <alignment horizontal="right" wrapText="1"/>
    </xf>
    <xf numFmtId="170" fontId="35" fillId="0" borderId="0" xfId="0" applyNumberFormat="1" applyFont="1" applyFill="1" applyAlignment="1">
      <alignment horizontal="center" wrapText="1"/>
    </xf>
    <xf numFmtId="0" fontId="34" fillId="4" borderId="1" xfId="0" applyNumberFormat="1" applyFont="1" applyFill="1" applyBorder="1" applyAlignment="1" applyProtection="1">
      <alignment horizontal="right" wrapText="1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left" indent="1"/>
    </xf>
    <xf numFmtId="166" fontId="38" fillId="0" borderId="0" xfId="0" applyNumberFormat="1" applyFont="1" applyFill="1"/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left" indent="1"/>
    </xf>
    <xf numFmtId="166" fontId="38" fillId="0" borderId="1" xfId="0" applyNumberFormat="1" applyFont="1" applyFill="1" applyBorder="1"/>
    <xf numFmtId="0" fontId="38" fillId="0" borderId="0" xfId="0" applyFont="1"/>
    <xf numFmtId="0" fontId="38" fillId="0" borderId="0" xfId="0" applyFont="1" applyAlignment="1">
      <alignment horizontal="left" indent="1"/>
    </xf>
    <xf numFmtId="166" fontId="39" fillId="0" borderId="0" xfId="0" applyNumberFormat="1" applyFont="1"/>
    <xf numFmtId="0" fontId="40" fillId="0" borderId="0" xfId="1284" applyFont="1" applyFill="1" applyAlignment="1">
      <alignment horizontal="right"/>
    </xf>
    <xf numFmtId="0" fontId="40" fillId="0" borderId="0" xfId="1284" applyFont="1" applyFill="1" applyAlignment="1">
      <alignment horizontal="left" indent="1"/>
    </xf>
    <xf numFmtId="0" fontId="40" fillId="0" borderId="0" xfId="1284" applyFont="1" applyFill="1"/>
    <xf numFmtId="166" fontId="38" fillId="0" borderId="0" xfId="0" applyNumberFormat="1" applyFont="1" applyFill="1" applyBorder="1"/>
    <xf numFmtId="0" fontId="41" fillId="0" borderId="0" xfId="0" applyFont="1" applyFill="1"/>
    <xf numFmtId="166" fontId="41" fillId="0" borderId="3" xfId="0" applyNumberFormat="1" applyFont="1" applyFill="1" applyBorder="1"/>
    <xf numFmtId="0" fontId="42" fillId="0" borderId="0" xfId="0" applyFont="1" applyFill="1" applyAlignment="1">
      <alignment vertical="top"/>
    </xf>
    <xf numFmtId="0" fontId="43" fillId="0" borderId="0" xfId="0" applyFont="1" applyFill="1" applyAlignment="1">
      <alignment vertical="top"/>
    </xf>
    <xf numFmtId="167" fontId="43" fillId="0" borderId="0" xfId="688" applyNumberFormat="1" applyFont="1" applyFill="1" applyBorder="1" applyAlignment="1">
      <alignment vertical="top"/>
    </xf>
    <xf numFmtId="0" fontId="38" fillId="0" borderId="0" xfId="0" applyFont="1" applyFill="1"/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right" vertical="top"/>
    </xf>
    <xf numFmtId="0" fontId="38" fillId="0" borderId="0" xfId="0" applyFont="1" applyFill="1" applyAlignment="1">
      <alignment horizontal="left" vertical="top"/>
    </xf>
    <xf numFmtId="166" fontId="38" fillId="0" borderId="0" xfId="0" applyNumberFormat="1" applyFont="1" applyFill="1" applyBorder="1" applyAlignment="1">
      <alignment vertical="top"/>
    </xf>
    <xf numFmtId="0" fontId="41" fillId="0" borderId="0" xfId="0" applyFont="1" applyAlignment="1">
      <alignment vertical="top"/>
    </xf>
    <xf numFmtId="166" fontId="41" fillId="28" borderId="3" xfId="0" applyNumberFormat="1" applyFont="1" applyFill="1" applyBorder="1" applyAlignment="1">
      <alignment vertical="top"/>
    </xf>
    <xf numFmtId="0" fontId="44" fillId="0" borderId="0" xfId="0" applyFont="1" applyAlignment="1">
      <alignment vertical="top"/>
    </xf>
    <xf numFmtId="0" fontId="43" fillId="0" borderId="0" xfId="0" applyFont="1" applyAlignment="1">
      <alignment vertical="top"/>
    </xf>
    <xf numFmtId="167" fontId="43" fillId="28" borderId="1" xfId="688" applyNumberFormat="1" applyFont="1" applyFill="1" applyBorder="1" applyAlignment="1">
      <alignment vertical="top"/>
    </xf>
    <xf numFmtId="166" fontId="38" fillId="0" borderId="0" xfId="0" applyNumberFormat="1" applyFont="1" applyFill="1" applyBorder="1" applyAlignment="1"/>
    <xf numFmtId="0" fontId="38" fillId="0" borderId="0" xfId="0" applyFont="1" applyFill="1" applyAlignment="1">
      <alignment horizontal="left" vertical="top" indent="1"/>
    </xf>
    <xf numFmtId="166" fontId="38" fillId="0" borderId="0" xfId="0" applyNumberFormat="1" applyFont="1" applyFill="1" applyAlignment="1">
      <alignment vertical="top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6" fontId="41" fillId="0" borderId="0" xfId="0" applyNumberFormat="1" applyFont="1" applyBorder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horizontal="left" vertical="center"/>
    </xf>
    <xf numFmtId="166" fontId="38" fillId="0" borderId="0" xfId="0" applyNumberFormat="1" applyFont="1" applyFill="1" applyBorder="1" applyAlignment="1">
      <alignment horizontal="right" vertical="center"/>
    </xf>
    <xf numFmtId="0" fontId="38" fillId="0" borderId="0" xfId="0" applyFont="1" applyAlignment="1"/>
    <xf numFmtId="0" fontId="41" fillId="0" borderId="0" xfId="0" applyFont="1" applyAlignment="1"/>
    <xf numFmtId="166" fontId="41" fillId="29" borderId="3" xfId="0" applyNumberFormat="1" applyFont="1" applyFill="1" applyBorder="1" applyAlignment="1"/>
    <xf numFmtId="0" fontId="44" fillId="0" borderId="0" xfId="0" applyFont="1"/>
    <xf numFmtId="167" fontId="43" fillId="29" borderId="14" xfId="688" applyNumberFormat="1" applyFont="1" applyFill="1" applyBorder="1" applyAlignment="1">
      <alignment vertical="top"/>
    </xf>
    <xf numFmtId="0" fontId="38" fillId="0" borderId="0" xfId="0" applyFont="1" applyFill="1" applyAlignment="1"/>
    <xf numFmtId="0" fontId="41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vertical="top"/>
    </xf>
    <xf numFmtId="166" fontId="41" fillId="0" borderId="0" xfId="0" applyNumberFormat="1" applyFont="1" applyFill="1" applyBorder="1" applyAlignment="1">
      <alignment vertical="top"/>
    </xf>
    <xf numFmtId="0" fontId="42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top"/>
    </xf>
    <xf numFmtId="0" fontId="38" fillId="0" borderId="0" xfId="0" applyFont="1" applyAlignment="1">
      <alignment horizontal="right"/>
    </xf>
    <xf numFmtId="170" fontId="38" fillId="0" borderId="0" xfId="0" applyNumberFormat="1" applyFont="1"/>
    <xf numFmtId="168" fontId="35" fillId="4" borderId="2" xfId="0" applyNumberFormat="1" applyFont="1" applyFill="1" applyBorder="1" applyAlignment="1" applyProtection="1">
      <alignment horizontal="right" wrapText="1"/>
    </xf>
    <xf numFmtId="0" fontId="38" fillId="0" borderId="0" xfId="0" applyFont="1" applyAlignment="1">
      <alignment horizontal="center"/>
    </xf>
    <xf numFmtId="168" fontId="35" fillId="30" borderId="2" xfId="0" applyNumberFormat="1" applyFont="1" applyFill="1" applyBorder="1" applyAlignment="1" applyProtection="1">
      <alignment horizontal="right" wrapText="1"/>
    </xf>
    <xf numFmtId="0" fontId="35" fillId="0" borderId="0" xfId="0" applyFont="1" applyAlignment="1">
      <alignment horizontal="center"/>
    </xf>
    <xf numFmtId="171" fontId="34" fillId="4" borderId="0" xfId="0" applyNumberFormat="1" applyFont="1" applyFill="1" applyBorder="1" applyAlignment="1" applyProtection="1">
      <alignment horizontal="right" wrapText="1"/>
    </xf>
    <xf numFmtId="171" fontId="34" fillId="30" borderId="0" xfId="0" applyNumberFormat="1" applyFont="1" applyFill="1" applyBorder="1" applyAlignment="1" applyProtection="1">
      <alignment horizontal="right" wrapText="1"/>
    </xf>
    <xf numFmtId="0" fontId="34" fillId="30" borderId="1" xfId="0" applyNumberFormat="1" applyFont="1" applyFill="1" applyBorder="1" applyAlignment="1" applyProtection="1">
      <alignment horizontal="right" wrapText="1"/>
    </xf>
    <xf numFmtId="3" fontId="38" fillId="0" borderId="0" xfId="0" applyNumberFormat="1" applyFont="1"/>
    <xf numFmtId="3" fontId="38" fillId="0" borderId="0" xfId="0" applyNumberFormat="1" applyFont="1" applyFill="1"/>
    <xf numFmtId="9" fontId="38" fillId="0" borderId="0" xfId="688" applyFont="1"/>
    <xf numFmtId="3" fontId="42" fillId="0" borderId="0" xfId="0" applyNumberFormat="1" applyFont="1" applyFill="1" applyAlignment="1">
      <alignment vertical="top"/>
    </xf>
    <xf numFmtId="3" fontId="41" fillId="0" borderId="0" xfId="0" applyNumberFormat="1" applyFont="1"/>
    <xf numFmtId="3" fontId="38" fillId="0" borderId="0" xfId="0" applyNumberFormat="1" applyFont="1" applyAlignment="1">
      <alignment vertical="top"/>
    </xf>
    <xf numFmtId="3" fontId="44" fillId="0" borderId="0" xfId="0" applyNumberFormat="1" applyFont="1"/>
    <xf numFmtId="3" fontId="38" fillId="0" borderId="0" xfId="0" applyNumberFormat="1" applyFont="1" applyAlignment="1"/>
    <xf numFmtId="3" fontId="41" fillId="0" borderId="0" xfId="0" applyNumberFormat="1" applyFont="1" applyAlignment="1">
      <alignment vertical="top"/>
    </xf>
    <xf numFmtId="3" fontId="38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166" fontId="38" fillId="0" borderId="0" xfId="0" applyNumberFormat="1" applyFont="1"/>
    <xf numFmtId="3" fontId="41" fillId="0" borderId="0" xfId="0" applyNumberFormat="1" applyFont="1" applyFill="1" applyBorder="1"/>
    <xf numFmtId="0" fontId="42" fillId="0" borderId="0" xfId="0" applyFont="1" applyFill="1" applyBorder="1" applyAlignment="1">
      <alignment horizontal="right"/>
    </xf>
    <xf numFmtId="3" fontId="42" fillId="0" borderId="0" xfId="0" applyNumberFormat="1" applyFont="1" applyFill="1" applyBorder="1"/>
    <xf numFmtId="167" fontId="38" fillId="0" borderId="0" xfId="688" applyNumberFormat="1" applyFont="1"/>
    <xf numFmtId="0" fontId="35" fillId="30" borderId="2" xfId="0" applyNumberFormat="1" applyFont="1" applyFill="1" applyBorder="1" applyAlignment="1" applyProtection="1">
      <alignment horizontal="right" wrapText="1"/>
    </xf>
    <xf numFmtId="0" fontId="35" fillId="4" borderId="2" xfId="0" applyNumberFormat="1" applyFont="1" applyFill="1" applyBorder="1" applyAlignment="1" applyProtection="1">
      <alignment horizontal="right" wrapText="1"/>
    </xf>
    <xf numFmtId="168" fontId="35" fillId="2" borderId="2" xfId="0" applyNumberFormat="1" applyFont="1" applyFill="1" applyBorder="1" applyAlignment="1" applyProtection="1">
      <alignment horizontal="right" wrapText="1"/>
    </xf>
    <xf numFmtId="171" fontId="34" fillId="2" borderId="0" xfId="0" applyNumberFormat="1" applyFont="1" applyFill="1" applyBorder="1" applyAlignment="1" applyProtection="1">
      <alignment horizontal="right" wrapText="1"/>
    </xf>
    <xf numFmtId="0" fontId="34" fillId="2" borderId="1" xfId="0" applyNumberFormat="1" applyFont="1" applyFill="1" applyBorder="1" applyAlignment="1" applyProtection="1">
      <alignment horizontal="right" wrapText="1"/>
    </xf>
    <xf numFmtId="0" fontId="38" fillId="0" borderId="0" xfId="0" applyFont="1" applyAlignment="1">
      <alignment horizontal="left"/>
    </xf>
    <xf numFmtId="0" fontId="45" fillId="0" borderId="0" xfId="0" applyFont="1" applyAlignment="1">
      <alignment horizontal="left" indent="1"/>
    </xf>
    <xf numFmtId="167" fontId="45" fillId="3" borderId="0" xfId="688" applyNumberFormat="1" applyFont="1" applyFill="1" applyBorder="1"/>
    <xf numFmtId="9" fontId="44" fillId="0" borderId="0" xfId="688" applyFont="1"/>
    <xf numFmtId="166" fontId="45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left"/>
    </xf>
    <xf numFmtId="166" fontId="41" fillId="0" borderId="0" xfId="0" applyNumberFormat="1" applyFont="1"/>
    <xf numFmtId="9" fontId="44" fillId="0" borderId="0" xfId="2" applyFont="1" applyFill="1"/>
    <xf numFmtId="166" fontId="46" fillId="3" borderId="4" xfId="686" applyNumberFormat="1" applyFont="1" applyFill="1" applyBorder="1"/>
    <xf numFmtId="0" fontId="11" fillId="0" borderId="0" xfId="4" applyFont="1" applyFill="1"/>
    <xf numFmtId="166" fontId="41" fillId="0" borderId="0" xfId="0" applyNumberFormat="1" applyFont="1" applyFill="1"/>
    <xf numFmtId="9" fontId="5" fillId="3" borderId="4" xfId="2" applyFont="1" applyFill="1" applyBorder="1"/>
    <xf numFmtId="0" fontId="14" fillId="3" borderId="0" xfId="686" applyFont="1" applyFill="1" applyAlignment="1">
      <alignment horizontal="left"/>
    </xf>
    <xf numFmtId="0" fontId="47" fillId="0" borderId="15" xfId="0" applyFont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167" fontId="44" fillId="0" borderId="0" xfId="2" applyNumberFormat="1" applyFont="1" applyFill="1"/>
    <xf numFmtId="167" fontId="38" fillId="0" borderId="0" xfId="2" applyNumberFormat="1" applyFont="1"/>
    <xf numFmtId="0" fontId="39" fillId="0" borderId="0" xfId="0" applyFont="1" applyFill="1" applyBorder="1" applyAlignment="1">
      <alignment horizontal="right"/>
    </xf>
    <xf numFmtId="166" fontId="39" fillId="0" borderId="0" xfId="0" applyNumberFormat="1" applyFont="1" applyFill="1" applyBorder="1"/>
    <xf numFmtId="3" fontId="39" fillId="0" borderId="0" xfId="0" applyNumberFormat="1" applyFont="1" applyBorder="1"/>
    <xf numFmtId="166" fontId="41" fillId="0" borderId="0" xfId="0" applyNumberFormat="1" applyFont="1" applyBorder="1"/>
    <xf numFmtId="3" fontId="41" fillId="0" borderId="0" xfId="0" applyNumberFormat="1" applyFont="1" applyBorder="1"/>
    <xf numFmtId="9" fontId="45" fillId="0" borderId="0" xfId="2" applyFont="1" applyBorder="1"/>
    <xf numFmtId="166" fontId="45" fillId="0" borderId="0" xfId="0" applyNumberFormat="1" applyFont="1" applyBorder="1"/>
    <xf numFmtId="3" fontId="45" fillId="0" borderId="0" xfId="0" applyNumberFormat="1" applyFont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166" fontId="44" fillId="0" borderId="0" xfId="0" applyNumberFormat="1" applyFont="1" applyBorder="1"/>
    <xf numFmtId="3" fontId="44" fillId="0" borderId="0" xfId="0" applyNumberFormat="1" applyFont="1" applyBorder="1"/>
    <xf numFmtId="0" fontId="38" fillId="0" borderId="0" xfId="0" applyFont="1" applyBorder="1"/>
    <xf numFmtId="0" fontId="0" fillId="0" borderId="0" xfId="0" applyBorder="1"/>
    <xf numFmtId="9" fontId="38" fillId="0" borderId="0" xfId="2" applyFont="1"/>
    <xf numFmtId="170" fontId="51" fillId="0" borderId="0" xfId="0" applyNumberFormat="1" applyFont="1" applyFill="1" applyAlignment="1">
      <alignment horizontal="right" wrapText="1"/>
    </xf>
    <xf numFmtId="170" fontId="48" fillId="0" borderId="0" xfId="0" applyNumberFormat="1" applyFont="1" applyFill="1" applyAlignment="1">
      <alignment horizontal="center" wrapText="1"/>
    </xf>
    <xf numFmtId="168" fontId="48" fillId="2" borderId="2" xfId="0" applyNumberFormat="1" applyFont="1" applyFill="1" applyBorder="1" applyAlignment="1" applyProtection="1">
      <alignment horizontal="right" wrapText="1"/>
    </xf>
    <xf numFmtId="0" fontId="49" fillId="0" borderId="0" xfId="0" applyFont="1" applyAlignment="1">
      <alignment horizontal="center"/>
    </xf>
    <xf numFmtId="168" fontId="48" fillId="30" borderId="2" xfId="0" applyNumberFormat="1" applyFont="1" applyFill="1" applyBorder="1" applyAlignment="1" applyProtection="1">
      <alignment horizontal="right" wrapText="1"/>
    </xf>
    <xf numFmtId="0" fontId="49" fillId="0" borderId="0" xfId="0" applyFont="1" applyAlignment="1">
      <alignment horizontal="right"/>
    </xf>
    <xf numFmtId="168" fontId="48" fillId="4" borderId="2" xfId="0" applyNumberFormat="1" applyFont="1" applyFill="1" applyBorder="1" applyAlignment="1" applyProtection="1">
      <alignment horizontal="right" wrapText="1"/>
    </xf>
    <xf numFmtId="0" fontId="48" fillId="4" borderId="2" xfId="0" applyNumberFormat="1" applyFont="1" applyFill="1" applyBorder="1" applyAlignment="1" applyProtection="1">
      <alignment horizontal="right" wrapText="1"/>
    </xf>
    <xf numFmtId="0" fontId="48" fillId="0" borderId="0" xfId="0" applyFont="1" applyAlignment="1">
      <alignment horizontal="center"/>
    </xf>
    <xf numFmtId="171" fontId="47" fillId="2" borderId="0" xfId="0" applyNumberFormat="1" applyFont="1" applyFill="1" applyBorder="1" applyAlignment="1" applyProtection="1">
      <alignment horizontal="right" wrapText="1"/>
    </xf>
    <xf numFmtId="171" fontId="47" fillId="30" borderId="0" xfId="0" applyNumberFormat="1" applyFont="1" applyFill="1" applyBorder="1" applyAlignment="1" applyProtection="1">
      <alignment horizontal="right" wrapText="1"/>
    </xf>
    <xf numFmtId="171" fontId="47" fillId="4" borderId="0" xfId="0" applyNumberFormat="1" applyFont="1" applyFill="1" applyBorder="1" applyAlignment="1" applyProtection="1">
      <alignment horizontal="right" wrapText="1"/>
    </xf>
    <xf numFmtId="0" fontId="47" fillId="2" borderId="1" xfId="0" applyNumberFormat="1" applyFont="1" applyFill="1" applyBorder="1" applyAlignment="1" applyProtection="1">
      <alignment horizontal="right" wrapText="1"/>
    </xf>
    <xf numFmtId="0" fontId="47" fillId="30" borderId="1" xfId="0" applyNumberFormat="1" applyFont="1" applyFill="1" applyBorder="1" applyAlignment="1" applyProtection="1">
      <alignment horizontal="right" wrapText="1"/>
    </xf>
    <xf numFmtId="0" fontId="47" fillId="4" borderId="1" xfId="0" applyNumberFormat="1" applyFont="1" applyFill="1" applyBorder="1" applyAlignment="1" applyProtection="1">
      <alignment horizontal="right" wrapText="1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left" indent="1"/>
    </xf>
    <xf numFmtId="166" fontId="49" fillId="0" borderId="0" xfId="0" applyNumberFormat="1" applyFont="1" applyFill="1"/>
    <xf numFmtId="3" fontId="49" fillId="0" borderId="0" xfId="0" applyNumberFormat="1" applyFont="1"/>
    <xf numFmtId="9" fontId="49" fillId="0" borderId="0" xfId="2" applyFont="1"/>
    <xf numFmtId="0" fontId="49" fillId="0" borderId="0" xfId="0" applyFont="1" applyFill="1" applyAlignment="1">
      <alignment horizontal="right"/>
    </xf>
    <xf numFmtId="0" fontId="49" fillId="0" borderId="0" xfId="0" applyFont="1" applyFill="1" applyAlignment="1">
      <alignment horizontal="left" indent="1"/>
    </xf>
    <xf numFmtId="166" fontId="49" fillId="0" borderId="1" xfId="0" applyNumberFormat="1" applyFont="1" applyFill="1" applyBorder="1"/>
    <xf numFmtId="0" fontId="49" fillId="0" borderId="0" xfId="0" applyFont="1" applyAlignment="1">
      <alignment horizontal="left" indent="1"/>
    </xf>
    <xf numFmtId="0" fontId="53" fillId="0" borderId="0" xfId="0" applyFont="1"/>
    <xf numFmtId="0" fontId="54" fillId="0" borderId="0" xfId="0" applyFont="1" applyAlignment="1">
      <alignment horizontal="left" indent="1"/>
    </xf>
    <xf numFmtId="167" fontId="55" fillId="0" borderId="0" xfId="2" applyNumberFormat="1" applyFont="1" applyFill="1"/>
    <xf numFmtId="167" fontId="49" fillId="0" borderId="0" xfId="2" applyNumberFormat="1" applyFont="1"/>
    <xf numFmtId="0" fontId="0" fillId="0" borderId="0" xfId="0" applyFont="1"/>
    <xf numFmtId="0" fontId="56" fillId="0" borderId="16" xfId="0" applyFont="1" applyBorder="1" applyAlignment="1">
      <alignment horizontal="left" indent="1"/>
    </xf>
    <xf numFmtId="0" fontId="57" fillId="31" borderId="16" xfId="0" applyFont="1" applyFill="1" applyBorder="1" applyAlignment="1">
      <alignment horizontal="left"/>
    </xf>
    <xf numFmtId="3" fontId="57" fillId="31" borderId="16" xfId="0" applyNumberFormat="1" applyFont="1" applyFill="1" applyBorder="1"/>
    <xf numFmtId="3" fontId="6" fillId="0" borderId="16" xfId="0" applyNumberFormat="1" applyFont="1" applyBorder="1"/>
    <xf numFmtId="0" fontId="6" fillId="0" borderId="16" xfId="0" applyFont="1" applyBorder="1" applyAlignment="1">
      <alignment horizontal="left" indent="1"/>
    </xf>
    <xf numFmtId="0" fontId="56" fillId="0" borderId="17" xfId="0" applyFont="1" applyBorder="1" applyAlignment="1">
      <alignment horizontal="left"/>
    </xf>
    <xf numFmtId="3" fontId="56" fillId="0" borderId="17" xfId="0" applyNumberFormat="1" applyFont="1" applyBorder="1"/>
    <xf numFmtId="0" fontId="58" fillId="31" borderId="16" xfId="0" applyFont="1" applyFill="1" applyBorder="1" applyAlignment="1">
      <alignment horizontal="left"/>
    </xf>
    <xf numFmtId="3" fontId="58" fillId="31" borderId="16" xfId="0" applyNumberFormat="1" applyFont="1" applyFill="1" applyBorder="1"/>
    <xf numFmtId="3" fontId="58" fillId="32" borderId="16" xfId="0" applyNumberFormat="1" applyFont="1" applyFill="1" applyBorder="1"/>
    <xf numFmtId="0" fontId="48" fillId="30" borderId="2" xfId="0" applyNumberFormat="1" applyFont="1" applyFill="1" applyBorder="1" applyAlignment="1" applyProtection="1">
      <alignment horizontal="right" wrapText="1"/>
    </xf>
    <xf numFmtId="0" fontId="59" fillId="0" borderId="0" xfId="1284" applyFont="1" applyFill="1" applyAlignment="1">
      <alignment horizontal="right"/>
    </xf>
    <xf numFmtId="0" fontId="59" fillId="0" borderId="0" xfId="1284" applyFont="1" applyFill="1" applyAlignment="1">
      <alignment horizontal="left" indent="1"/>
    </xf>
    <xf numFmtId="167" fontId="53" fillId="0" borderId="0" xfId="2" applyNumberFormat="1" applyFont="1" applyFill="1"/>
    <xf numFmtId="9" fontId="53" fillId="0" borderId="0" xfId="2" applyFont="1" applyFill="1"/>
    <xf numFmtId="0" fontId="51" fillId="0" borderId="0" xfId="0" applyFont="1" applyFill="1" applyAlignment="1">
      <alignment horizontal="right"/>
    </xf>
    <xf numFmtId="0" fontId="51" fillId="0" borderId="0" xfId="0" applyFont="1" applyFill="1" applyAlignment="1">
      <alignment horizontal="left" indent="1"/>
    </xf>
    <xf numFmtId="166" fontId="51" fillId="0" borderId="0" xfId="0" applyNumberFormat="1" applyFont="1" applyFill="1"/>
    <xf numFmtId="166" fontId="51" fillId="0" borderId="0" xfId="0" applyNumberFormat="1" applyFont="1"/>
    <xf numFmtId="3" fontId="51" fillId="0" borderId="0" xfId="0" applyNumberFormat="1" applyFont="1"/>
    <xf numFmtId="166" fontId="48" fillId="0" borderId="0" xfId="0" applyNumberFormat="1" applyFont="1"/>
    <xf numFmtId="166" fontId="51" fillId="0" borderId="1" xfId="0" applyNumberFormat="1" applyFont="1" applyFill="1" applyBorder="1"/>
    <xf numFmtId="0" fontId="48" fillId="0" borderId="0" xfId="0" applyFont="1" applyAlignment="1">
      <alignment horizontal="left"/>
    </xf>
    <xf numFmtId="3" fontId="48" fillId="0" borderId="0" xfId="0" applyNumberFormat="1" applyFont="1"/>
    <xf numFmtId="9" fontId="48" fillId="0" borderId="0" xfId="2" applyFont="1"/>
    <xf numFmtId="167" fontId="51" fillId="0" borderId="0" xfId="2" applyNumberFormat="1" applyFont="1" applyFill="1"/>
    <xf numFmtId="0" fontId="6" fillId="0" borderId="16" xfId="0" applyFont="1" applyBorder="1" applyAlignment="1">
      <alignment horizontal="left"/>
    </xf>
    <xf numFmtId="0" fontId="60" fillId="0" borderId="0" xfId="1284" applyFont="1" applyFill="1"/>
    <xf numFmtId="0" fontId="35" fillId="2" borderId="2" xfId="0" applyNumberFormat="1" applyFont="1" applyFill="1" applyBorder="1" applyAlignment="1" applyProtection="1">
      <alignment horizontal="right" wrapText="1"/>
    </xf>
    <xf numFmtId="9" fontId="61" fillId="0" borderId="0" xfId="2" applyFont="1"/>
    <xf numFmtId="0" fontId="61" fillId="0" borderId="0" xfId="0" applyFont="1" applyAlignment="1">
      <alignment horizontal="right"/>
    </xf>
    <xf numFmtId="166" fontId="62" fillId="0" borderId="0" xfId="0" applyNumberFormat="1" applyFont="1" applyFill="1" applyBorder="1" applyAlignment="1">
      <alignment horizontal="right" vertical="center"/>
    </xf>
    <xf numFmtId="3" fontId="62" fillId="0" borderId="0" xfId="0" applyNumberFormat="1" applyFont="1" applyAlignment="1">
      <alignment horizontal="right" vertical="center"/>
    </xf>
    <xf numFmtId="167" fontId="61" fillId="0" borderId="0" xfId="2" applyNumberFormat="1" applyFont="1"/>
    <xf numFmtId="0" fontId="63" fillId="33" borderId="18" xfId="4" applyFont="1" applyFill="1" applyBorder="1" applyAlignment="1">
      <alignment horizontal="left" wrapText="1"/>
    </xf>
    <xf numFmtId="0" fontId="63" fillId="33" borderId="3" xfId="4" applyFont="1" applyFill="1" applyBorder="1" applyAlignment="1">
      <alignment wrapText="1"/>
    </xf>
    <xf numFmtId="0" fontId="63" fillId="33" borderId="3" xfId="4" applyFont="1" applyFill="1" applyBorder="1" applyAlignment="1">
      <alignment horizontal="left" wrapText="1"/>
    </xf>
    <xf numFmtId="0" fontId="63" fillId="33" borderId="19" xfId="4" applyFont="1" applyFill="1" applyBorder="1" applyAlignment="1">
      <alignment wrapText="1"/>
    </xf>
    <xf numFmtId="0" fontId="64" fillId="0" borderId="0" xfId="686" applyFont="1"/>
    <xf numFmtId="0" fontId="64" fillId="0" borderId="0" xfId="686" applyFont="1" applyBorder="1"/>
    <xf numFmtId="0" fontId="65" fillId="0" borderId="20" xfId="4" applyFont="1" applyBorder="1" applyAlignment="1">
      <alignment horizontal="left"/>
    </xf>
    <xf numFmtId="0" fontId="65" fillId="0" borderId="20" xfId="4" applyFont="1" applyBorder="1"/>
    <xf numFmtId="0" fontId="64" fillId="0" borderId="0" xfId="686" applyFont="1" applyAlignment="1"/>
    <xf numFmtId="0" fontId="64" fillId="0" borderId="0" xfId="686" applyFont="1" applyBorder="1" applyAlignment="1"/>
    <xf numFmtId="0" fontId="64" fillId="0" borderId="0" xfId="4" applyFont="1"/>
    <xf numFmtId="0" fontId="14" fillId="0" borderId="0" xfId="687" applyFont="1" applyBorder="1"/>
    <xf numFmtId="0" fontId="5" fillId="0" borderId="0" xfId="687" applyFont="1" applyAlignment="1">
      <alignment horizontal="left"/>
    </xf>
    <xf numFmtId="0" fontId="15" fillId="3" borderId="4" xfId="687" applyNumberFormat="1" applyFont="1" applyFill="1" applyBorder="1" applyAlignment="1">
      <alignment horizontal="left"/>
    </xf>
    <xf numFmtId="3" fontId="14" fillId="0" borderId="0" xfId="687" applyNumberFormat="1" applyFont="1" applyBorder="1"/>
    <xf numFmtId="0" fontId="65" fillId="0" borderId="20" xfId="0" applyFont="1" applyBorder="1" applyAlignment="1">
      <alignment horizontal="left"/>
    </xf>
    <xf numFmtId="0" fontId="65" fillId="0" borderId="20" xfId="0" applyFont="1" applyBorder="1"/>
    <xf numFmtId="0" fontId="5" fillId="0" borderId="0" xfId="686" applyFont="1" applyFill="1" applyAlignment="1">
      <alignment horizontal="center"/>
    </xf>
    <xf numFmtId="166" fontId="62" fillId="0" borderId="0" xfId="0" applyNumberFormat="1" applyFont="1" applyFill="1" applyBorder="1"/>
    <xf numFmtId="166" fontId="62" fillId="0" borderId="1" xfId="0" applyNumberFormat="1" applyFont="1" applyFill="1" applyBorder="1"/>
    <xf numFmtId="0" fontId="38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left" indent="1"/>
    </xf>
    <xf numFmtId="9" fontId="38" fillId="0" borderId="0" xfId="688" applyFont="1" applyBorder="1"/>
    <xf numFmtId="3" fontId="38" fillId="0" borderId="0" xfId="0" applyNumberFormat="1" applyFont="1" applyBorder="1"/>
    <xf numFmtId="3" fontId="14" fillId="0" borderId="0" xfId="687" applyNumberFormat="1" applyFont="1"/>
    <xf numFmtId="0" fontId="34" fillId="0" borderId="0" xfId="4" applyFont="1" applyFill="1"/>
    <xf numFmtId="0" fontId="35" fillId="0" borderId="0" xfId="4" applyFont="1" applyFill="1"/>
    <xf numFmtId="0" fontId="41" fillId="0" borderId="4" xfId="686" applyFont="1" applyFill="1" applyBorder="1" applyAlignment="1">
      <alignment horizontal="center" wrapText="1"/>
    </xf>
    <xf numFmtId="166" fontId="35" fillId="0" borderId="0" xfId="4" applyNumberFormat="1" applyFont="1" applyFill="1"/>
    <xf numFmtId="0" fontId="34" fillId="3" borderId="4" xfId="687" applyFont="1" applyFill="1" applyBorder="1" applyAlignment="1">
      <alignment horizontal="right" wrapText="1"/>
    </xf>
    <xf numFmtId="0" fontId="66" fillId="3" borderId="4" xfId="687" applyNumberFormat="1" applyFont="1" applyFill="1" applyBorder="1" applyAlignment="1">
      <alignment horizontal="left"/>
    </xf>
    <xf numFmtId="3" fontId="34" fillId="3" borderId="4" xfId="687" applyNumberFormat="1" applyFont="1" applyFill="1" applyBorder="1" applyAlignment="1">
      <alignment horizontal="right" wrapText="1"/>
    </xf>
    <xf numFmtId="0" fontId="34" fillId="3" borderId="4" xfId="687" applyFont="1" applyFill="1" applyBorder="1" applyAlignment="1">
      <alignment horizontal="center" wrapText="1"/>
    </xf>
    <xf numFmtId="0" fontId="66" fillId="3" borderId="4" xfId="687" applyNumberFormat="1" applyFont="1" applyFill="1" applyBorder="1" applyAlignment="1">
      <alignment horizontal="center"/>
    </xf>
    <xf numFmtId="170" fontId="38" fillId="0" borderId="0" xfId="0" applyNumberFormat="1" applyFont="1" applyAlignment="1">
      <alignment horizontal="left"/>
    </xf>
    <xf numFmtId="0" fontId="41" fillId="0" borderId="4" xfId="686" applyFont="1" applyFill="1" applyBorder="1" applyAlignment="1">
      <alignment horizontal="left" wrapText="1"/>
    </xf>
    <xf numFmtId="0" fontId="35" fillId="0" borderId="0" xfId="4" applyFont="1" applyFill="1" applyAlignment="1">
      <alignment horizontal="left"/>
    </xf>
    <xf numFmtId="0" fontId="5" fillId="0" borderId="0" xfId="687" applyFont="1" applyBorder="1" applyAlignment="1">
      <alignment horizontal="left"/>
    </xf>
    <xf numFmtId="0" fontId="34" fillId="0" borderId="0" xfId="4" applyFont="1" applyFill="1" applyAlignment="1">
      <alignment horizontal="left"/>
    </xf>
    <xf numFmtId="170" fontId="38" fillId="0" borderId="0" xfId="0" applyNumberFormat="1" applyFont="1" applyAlignment="1">
      <alignment horizontal="right"/>
    </xf>
    <xf numFmtId="0" fontId="41" fillId="0" borderId="4" xfId="686" applyFont="1" applyFill="1" applyBorder="1" applyAlignment="1">
      <alignment horizontal="right" wrapText="1"/>
    </xf>
    <xf numFmtId="166" fontId="35" fillId="0" borderId="0" xfId="4" applyNumberFormat="1" applyFont="1" applyFill="1" applyAlignment="1">
      <alignment horizontal="right"/>
    </xf>
    <xf numFmtId="0" fontId="34" fillId="0" borderId="0" xfId="4" applyFont="1" applyFill="1" applyAlignment="1">
      <alignment horizontal="right"/>
    </xf>
    <xf numFmtId="0" fontId="35" fillId="0" borderId="0" xfId="4" applyFont="1" applyFill="1" applyAlignment="1">
      <alignment horizontal="right"/>
    </xf>
    <xf numFmtId="166" fontId="38" fillId="0" borderId="0" xfId="685" applyNumberFormat="1" applyFont="1" applyFill="1"/>
    <xf numFmtId="0" fontId="41" fillId="3" borderId="0" xfId="686" applyFont="1" applyFill="1" applyAlignment="1">
      <alignment horizontal="center"/>
    </xf>
    <xf numFmtId="0" fontId="41" fillId="0" borderId="0" xfId="686" applyFont="1" applyFill="1" applyAlignment="1">
      <alignment horizontal="center"/>
    </xf>
    <xf numFmtId="168" fontId="35" fillId="5" borderId="2" xfId="687" applyNumberFormat="1" applyFont="1" applyFill="1" applyBorder="1" applyAlignment="1" applyProtection="1">
      <alignment horizontal="right" wrapText="1"/>
    </xf>
    <xf numFmtId="0" fontId="35" fillId="5" borderId="2" xfId="687" applyNumberFormat="1" applyFont="1" applyFill="1" applyBorder="1" applyAlignment="1" applyProtection="1">
      <alignment horizontal="right" wrapText="1"/>
    </xf>
    <xf numFmtId="0" fontId="38" fillId="0" borderId="0" xfId="686" applyFont="1" applyFill="1"/>
    <xf numFmtId="169" fontId="34" fillId="5" borderId="0" xfId="687" applyNumberFormat="1" applyFont="1" applyFill="1" applyBorder="1" applyAlignment="1" applyProtection="1">
      <alignment horizontal="right" wrapText="1"/>
    </xf>
    <xf numFmtId="0" fontId="41" fillId="5" borderId="0" xfId="686" applyFont="1" applyFill="1"/>
    <xf numFmtId="0" fontId="38" fillId="3" borderId="0" xfId="686" applyFont="1" applyFill="1"/>
    <xf numFmtId="0" fontId="41" fillId="5" borderId="0" xfId="686" applyFont="1" applyFill="1" applyAlignment="1">
      <alignment wrapText="1"/>
    </xf>
    <xf numFmtId="0" fontId="41" fillId="5" borderId="4" xfId="686" applyFont="1" applyFill="1" applyBorder="1" applyAlignment="1">
      <alignment wrapText="1"/>
    </xf>
    <xf numFmtId="0" fontId="41" fillId="5" borderId="4" xfId="686" applyFont="1" applyFill="1" applyBorder="1" applyAlignment="1">
      <alignment horizontal="center" wrapText="1"/>
    </xf>
    <xf numFmtId="0" fontId="41" fillId="5" borderId="4" xfId="686" applyFont="1" applyFill="1" applyBorder="1" applyAlignment="1">
      <alignment horizontal="right" wrapText="1"/>
    </xf>
    <xf numFmtId="0" fontId="41" fillId="0" borderId="0" xfId="686" applyFont="1" applyFill="1" applyBorder="1" applyAlignment="1">
      <alignment horizontal="right" wrapText="1"/>
    </xf>
    <xf numFmtId="168" fontId="34" fillId="5" borderId="1" xfId="687" applyNumberFormat="1" applyFont="1" applyFill="1" applyBorder="1" applyAlignment="1" applyProtection="1">
      <alignment horizontal="right" wrapText="1"/>
    </xf>
    <xf numFmtId="0" fontId="38" fillId="0" borderId="0" xfId="686" applyFont="1" applyFill="1" applyAlignment="1">
      <alignment wrapText="1"/>
    </xf>
    <xf numFmtId="3" fontId="41" fillId="5" borderId="0" xfId="686" applyNumberFormat="1" applyFont="1" applyFill="1" applyAlignment="1">
      <alignment wrapText="1"/>
    </xf>
    <xf numFmtId="166" fontId="38" fillId="3" borderId="0" xfId="686" applyNumberFormat="1" applyFont="1" applyFill="1"/>
    <xf numFmtId="166" fontId="35" fillId="5" borderId="0" xfId="687" applyNumberFormat="1" applyFont="1" applyFill="1" applyBorder="1" applyAlignment="1" applyProtection="1">
      <alignment horizontal="right" wrapText="1"/>
    </xf>
    <xf numFmtId="0" fontId="41" fillId="0" borderId="0" xfId="686" applyFont="1" applyFill="1" applyAlignment="1">
      <alignment wrapText="1"/>
    </xf>
    <xf numFmtId="3" fontId="38" fillId="3" borderId="0" xfId="687" applyNumberFormat="1" applyFont="1" applyFill="1"/>
    <xf numFmtId="49" fontId="66" fillId="3" borderId="4" xfId="687" applyNumberFormat="1" applyFont="1" applyFill="1" applyBorder="1"/>
    <xf numFmtId="0" fontId="66" fillId="3" borderId="4" xfId="687" applyNumberFormat="1" applyFont="1" applyFill="1" applyBorder="1"/>
    <xf numFmtId="166" fontId="38" fillId="3" borderId="4" xfId="686" applyNumberFormat="1" applyFont="1" applyFill="1" applyBorder="1" applyAlignment="1">
      <alignment horizontal="right"/>
    </xf>
    <xf numFmtId="2" fontId="66" fillId="3" borderId="4" xfId="687" applyNumberFormat="1" applyFont="1" applyFill="1" applyBorder="1"/>
    <xf numFmtId="1" fontId="66" fillId="3" borderId="4" xfId="687" applyNumberFormat="1" applyFont="1" applyFill="1" applyBorder="1" applyAlignment="1">
      <alignment horizontal="right"/>
    </xf>
    <xf numFmtId="166" fontId="38" fillId="3" borderId="4" xfId="686" applyNumberFormat="1" applyFont="1" applyFill="1" applyBorder="1"/>
    <xf numFmtId="0" fontId="62" fillId="3" borderId="4" xfId="687" applyNumberFormat="1" applyFont="1" applyFill="1" applyBorder="1" applyAlignment="1">
      <alignment horizontal="center"/>
    </xf>
    <xf numFmtId="0" fontId="62" fillId="3" borderId="4" xfId="687" applyNumberFormat="1" applyFont="1" applyFill="1" applyBorder="1"/>
    <xf numFmtId="3" fontId="38" fillId="3" borderId="0" xfId="687" applyNumberFormat="1" applyFont="1" applyFill="1" applyBorder="1"/>
    <xf numFmtId="49" fontId="66" fillId="3" borderId="0" xfId="687" applyNumberFormat="1" applyFont="1" applyFill="1" applyBorder="1"/>
    <xf numFmtId="0" fontId="66" fillId="3" borderId="0" xfId="687" applyNumberFormat="1" applyFont="1" applyFill="1" applyBorder="1"/>
    <xf numFmtId="0" fontId="66" fillId="3" borderId="0" xfId="687" applyNumberFormat="1" applyFont="1" applyFill="1" applyBorder="1" applyAlignment="1">
      <alignment horizontal="center"/>
    </xf>
    <xf numFmtId="166" fontId="38" fillId="3" borderId="0" xfId="686" applyNumberFormat="1" applyFont="1" applyFill="1" applyBorder="1" applyAlignment="1">
      <alignment horizontal="right"/>
    </xf>
    <xf numFmtId="2" fontId="66" fillId="3" borderId="0" xfId="687" applyNumberFormat="1" applyFont="1" applyFill="1" applyBorder="1"/>
    <xf numFmtId="49" fontId="66" fillId="3" borderId="0" xfId="687" applyNumberFormat="1" applyFont="1" applyFill="1" applyBorder="1" applyAlignment="1">
      <alignment horizontal="right"/>
    </xf>
    <xf numFmtId="166" fontId="38" fillId="3" borderId="0" xfId="686" applyNumberFormat="1" applyFont="1" applyFill="1" applyBorder="1"/>
    <xf numFmtId="0" fontId="38" fillId="3" borderId="0" xfId="687" applyFont="1" applyFill="1" applyBorder="1"/>
    <xf numFmtId="0" fontId="38" fillId="3" borderId="0" xfId="687" applyFont="1" applyFill="1" applyBorder="1" applyAlignment="1">
      <alignment horizontal="center"/>
    </xf>
    <xf numFmtId="0" fontId="38" fillId="0" borderId="0" xfId="687" applyFont="1" applyBorder="1"/>
    <xf numFmtId="0" fontId="38" fillId="3" borderId="0" xfId="686" applyFont="1" applyFill="1" applyBorder="1"/>
    <xf numFmtId="0" fontId="38" fillId="0" borderId="0" xfId="687" applyFont="1"/>
    <xf numFmtId="0" fontId="38" fillId="3" borderId="0" xfId="687" applyFont="1" applyFill="1"/>
    <xf numFmtId="0" fontId="38" fillId="3" borderId="0" xfId="687" applyFont="1" applyFill="1" applyAlignment="1">
      <alignment horizontal="center"/>
    </xf>
    <xf numFmtId="0" fontId="14" fillId="0" borderId="0" xfId="686" applyFont="1" applyFill="1" applyAlignment="1">
      <alignment horizontal="left"/>
    </xf>
    <xf numFmtId="0" fontId="5" fillId="0" borderId="0" xfId="686" applyFont="1" applyFill="1" applyAlignment="1">
      <alignment horizontal="left"/>
    </xf>
    <xf numFmtId="0" fontId="14" fillId="0" borderId="4" xfId="686" applyFont="1" applyFill="1" applyBorder="1" applyAlignment="1">
      <alignment horizontal="left" wrapText="1"/>
    </xf>
    <xf numFmtId="166" fontId="62" fillId="0" borderId="0" xfId="0" applyNumberFormat="1" applyFont="1" applyFill="1"/>
    <xf numFmtId="0" fontId="65" fillId="28" borderId="20" xfId="4" applyFont="1" applyFill="1" applyBorder="1" applyAlignment="1">
      <alignment horizontal="left"/>
    </xf>
    <xf numFmtId="0" fontId="65" fillId="28" borderId="20" xfId="4" applyFont="1" applyFill="1" applyBorder="1"/>
    <xf numFmtId="166" fontId="38" fillId="5" borderId="0" xfId="0" applyNumberFormat="1" applyFont="1" applyFill="1" applyBorder="1"/>
    <xf numFmtId="4" fontId="38" fillId="0" borderId="0" xfId="0" applyNumberFormat="1" applyFont="1"/>
    <xf numFmtId="170" fontId="49" fillId="0" borderId="0" xfId="0" applyNumberFormat="1" applyFont="1"/>
    <xf numFmtId="0" fontId="40" fillId="35" borderId="4" xfId="2599" applyNumberFormat="1" applyFont="1" applyFill="1" applyBorder="1" applyAlignment="1">
      <alignment horizontal="left"/>
    </xf>
    <xf numFmtId="0" fontId="62" fillId="3" borderId="4" xfId="687" applyFont="1" applyFill="1" applyBorder="1" applyAlignment="1">
      <alignment horizontal="center" wrapText="1"/>
    </xf>
    <xf numFmtId="0" fontId="62" fillId="3" borderId="4" xfId="687" applyNumberFormat="1" applyFont="1" applyFill="1" applyBorder="1" applyAlignment="1">
      <alignment horizontal="left"/>
    </xf>
    <xf numFmtId="0" fontId="69" fillId="3" borderId="4" xfId="687" applyNumberFormat="1" applyFont="1" applyFill="1" applyBorder="1" applyAlignment="1">
      <alignment horizontal="center"/>
    </xf>
    <xf numFmtId="0" fontId="69" fillId="3" borderId="4" xfId="687" applyNumberFormat="1" applyFont="1" applyFill="1" applyBorder="1" applyAlignment="1">
      <alignment horizontal="left"/>
    </xf>
    <xf numFmtId="166" fontId="38" fillId="34" borderId="0" xfId="0" applyNumberFormat="1" applyFont="1" applyFill="1"/>
    <xf numFmtId="3" fontId="41" fillId="0" borderId="3" xfId="0" applyNumberFormat="1" applyFont="1" applyBorder="1"/>
    <xf numFmtId="3" fontId="41" fillId="0" borderId="21" xfId="0" applyNumberFormat="1" applyFont="1" applyBorder="1" applyAlignment="1">
      <alignment vertical="center"/>
    </xf>
    <xf numFmtId="3" fontId="38" fillId="0" borderId="0" xfId="0" applyNumberFormat="1" applyFont="1" applyAlignment="1">
      <alignment vertical="center"/>
    </xf>
    <xf numFmtId="0" fontId="37" fillId="0" borderId="0" xfId="0" applyFont="1" applyAlignment="1">
      <alignment horizontal="left"/>
    </xf>
    <xf numFmtId="0" fontId="71" fillId="0" borderId="0" xfId="0" applyFont="1" applyAlignment="1">
      <alignment horizontal="right" vertical="center"/>
    </xf>
    <xf numFmtId="0" fontId="71" fillId="0" borderId="0" xfId="0" applyFont="1" applyAlignment="1">
      <alignment horizontal="left" vertical="center"/>
    </xf>
    <xf numFmtId="166" fontId="41" fillId="0" borderId="0" xfId="0" applyNumberFormat="1" applyFont="1" applyFill="1" applyAlignment="1">
      <alignment vertical="center"/>
    </xf>
    <xf numFmtId="3" fontId="41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top"/>
    </xf>
    <xf numFmtId="166" fontId="41" fillId="0" borderId="22" xfId="0" applyNumberFormat="1" applyFont="1" applyBorder="1" applyAlignment="1">
      <alignment horizontal="right" vertical="top"/>
    </xf>
    <xf numFmtId="166" fontId="41" fillId="0" borderId="0" xfId="0" applyNumberFormat="1" applyFont="1" applyBorder="1" applyAlignment="1">
      <alignment horizontal="right" vertical="top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166" fontId="38" fillId="0" borderId="0" xfId="0" applyNumberFormat="1" applyFont="1" applyFill="1" applyAlignment="1">
      <alignment vertical="center"/>
    </xf>
    <xf numFmtId="172" fontId="38" fillId="0" borderId="0" xfId="0" applyNumberFormat="1" applyFont="1"/>
    <xf numFmtId="172" fontId="38" fillId="0" borderId="0" xfId="0" applyNumberFormat="1" applyFont="1" applyAlignment="1">
      <alignment horizontal="center"/>
    </xf>
    <xf numFmtId="172" fontId="41" fillId="0" borderId="0" xfId="0" applyNumberFormat="1" applyFont="1"/>
    <xf numFmtId="172" fontId="44" fillId="0" borderId="0" xfId="688" applyNumberFormat="1" applyFont="1"/>
    <xf numFmtId="172" fontId="38" fillId="0" borderId="0" xfId="0" applyNumberFormat="1" applyFont="1" applyFill="1"/>
    <xf numFmtId="172" fontId="42" fillId="0" borderId="0" xfId="0" applyNumberFormat="1" applyFont="1" applyFill="1" applyAlignment="1">
      <alignment vertical="top"/>
    </xf>
    <xf numFmtId="172" fontId="38" fillId="0" borderId="0" xfId="688" applyNumberFormat="1" applyFont="1"/>
    <xf numFmtId="172" fontId="44" fillId="0" borderId="0" xfId="0" applyNumberFormat="1" applyFont="1"/>
    <xf numFmtId="172" fontId="38" fillId="0" borderId="0" xfId="0" applyNumberFormat="1" applyFont="1" applyAlignment="1"/>
    <xf numFmtId="172" fontId="41" fillId="0" borderId="0" xfId="0" applyNumberFormat="1" applyFont="1" applyAlignment="1">
      <alignment vertical="top"/>
    </xf>
    <xf numFmtId="172" fontId="34" fillId="0" borderId="0" xfId="0" applyNumberFormat="1" applyFont="1" applyAlignment="1">
      <alignment horizontal="right" vertical="center"/>
    </xf>
    <xf numFmtId="172" fontId="38" fillId="0" borderId="0" xfId="0" applyNumberFormat="1" applyFont="1" applyAlignment="1">
      <alignment vertical="center"/>
    </xf>
    <xf numFmtId="172" fontId="41" fillId="0" borderId="0" xfId="0" applyNumberFormat="1" applyFont="1" applyAlignment="1">
      <alignment vertical="center"/>
    </xf>
    <xf numFmtId="172" fontId="0" fillId="0" borderId="0" xfId="0" applyNumberFormat="1"/>
    <xf numFmtId="9" fontId="41" fillId="0" borderId="0" xfId="2" applyFont="1"/>
    <xf numFmtId="172" fontId="37" fillId="0" borderId="0" xfId="0" applyNumberFormat="1" applyFont="1"/>
    <xf numFmtId="173" fontId="34" fillId="0" borderId="0" xfId="0" applyNumberFormat="1" applyFont="1"/>
    <xf numFmtId="174" fontId="35" fillId="30" borderId="2" xfId="0" applyNumberFormat="1" applyFont="1" applyFill="1" applyBorder="1" applyAlignment="1" applyProtection="1">
      <alignment horizontal="right" wrapText="1"/>
    </xf>
    <xf numFmtId="0" fontId="34" fillId="3" borderId="4" xfId="687" applyNumberFormat="1" applyFont="1" applyFill="1" applyBorder="1" applyAlignment="1">
      <alignment horizontal="left"/>
    </xf>
    <xf numFmtId="0" fontId="34" fillId="35" borderId="4" xfId="2599" applyNumberFormat="1" applyFont="1" applyFill="1" applyBorder="1" applyAlignment="1">
      <alignment horizontal="left"/>
    </xf>
    <xf numFmtId="166" fontId="38" fillId="0" borderId="0" xfId="0" quotePrefix="1" applyNumberFormat="1" applyFont="1" applyFill="1"/>
    <xf numFmtId="0" fontId="14" fillId="34" borderId="4" xfId="686" applyFont="1" applyFill="1" applyBorder="1" applyAlignment="1">
      <alignment wrapText="1"/>
    </xf>
    <xf numFmtId="3" fontId="62" fillId="3" borderId="4" xfId="687" applyNumberFormat="1" applyFont="1" applyFill="1" applyBorder="1" applyAlignment="1">
      <alignment horizontal="right" wrapText="1"/>
    </xf>
    <xf numFmtId="166" fontId="10" fillId="0" borderId="0" xfId="4" applyNumberFormat="1" applyFont="1" applyFill="1"/>
    <xf numFmtId="170" fontId="41" fillId="0" borderId="0" xfId="0" applyNumberFormat="1" applyFont="1" applyAlignment="1">
      <alignment horizontal="right"/>
    </xf>
    <xf numFmtId="0" fontId="5" fillId="3" borderId="0" xfId="686" applyFont="1" applyFill="1" applyAlignment="1">
      <alignment horizontal="center"/>
    </xf>
    <xf numFmtId="0" fontId="14" fillId="3" borderId="4" xfId="686" applyFont="1" applyFill="1" applyBorder="1" applyAlignment="1">
      <alignment wrapText="1"/>
    </xf>
    <xf numFmtId="0" fontId="5" fillId="3" borderId="0" xfId="687" applyFont="1" applyFill="1" applyBorder="1"/>
    <xf numFmtId="0" fontId="5" fillId="3" borderId="0" xfId="687" applyFont="1" applyFill="1"/>
    <xf numFmtId="0" fontId="69" fillId="3" borderId="4" xfId="687" applyFont="1" applyFill="1" applyBorder="1" applyAlignment="1">
      <alignment horizontal="right" wrapText="1"/>
    </xf>
    <xf numFmtId="166" fontId="11" fillId="4" borderId="0" xfId="687" applyNumberFormat="1" applyFont="1" applyFill="1" applyBorder="1" applyAlignment="1" applyProtection="1">
      <alignment horizontal="right" wrapText="1"/>
    </xf>
    <xf numFmtId="3" fontId="5" fillId="3" borderId="0" xfId="687" applyNumberFormat="1" applyFont="1" applyFill="1"/>
    <xf numFmtId="3" fontId="5" fillId="34" borderId="0" xfId="687" applyNumberFormat="1" applyFont="1" applyFill="1"/>
    <xf numFmtId="0" fontId="15" fillId="3" borderId="4" xfId="687" applyNumberFormat="1" applyFont="1" applyFill="1" applyBorder="1" applyAlignment="1">
      <alignment horizontal="center"/>
    </xf>
    <xf numFmtId="0" fontId="15" fillId="3" borderId="4" xfId="687" applyNumberFormat="1" applyFont="1" applyFill="1" applyBorder="1" applyAlignment="1">
      <alignment horizontal="left"/>
    </xf>
    <xf numFmtId="49" fontId="15" fillId="3" borderId="4" xfId="687" applyNumberFormat="1" applyFont="1" applyFill="1" applyBorder="1"/>
    <xf numFmtId="9" fontId="5" fillId="3" borderId="4" xfId="2" applyFont="1" applyFill="1" applyBorder="1"/>
    <xf numFmtId="3" fontId="5" fillId="3" borderId="4" xfId="688" applyNumberFormat="1" applyFont="1" applyFill="1" applyBorder="1"/>
    <xf numFmtId="0" fontId="46" fillId="3" borderId="4" xfId="687" applyNumberFormat="1" applyFont="1" applyFill="1" applyBorder="1" applyAlignment="1">
      <alignment horizontal="center"/>
    </xf>
    <xf numFmtId="0" fontId="15" fillId="3" borderId="4" xfId="687" applyNumberFormat="1" applyFont="1" applyFill="1" applyBorder="1"/>
    <xf numFmtId="167" fontId="5" fillId="3" borderId="4" xfId="688" applyNumberFormat="1" applyFont="1" applyFill="1" applyBorder="1"/>
    <xf numFmtId="3" fontId="33" fillId="3" borderId="0" xfId="687" applyNumberFormat="1" applyFont="1" applyFill="1"/>
    <xf numFmtId="0" fontId="10" fillId="3" borderId="4" xfId="687" applyNumberFormat="1" applyFont="1" applyFill="1" applyBorder="1" applyAlignment="1">
      <alignment horizontal="center"/>
    </xf>
    <xf numFmtId="0" fontId="10" fillId="3" borderId="4" xfId="687" applyNumberFormat="1" applyFont="1" applyFill="1" applyBorder="1" applyAlignment="1">
      <alignment horizontal="left"/>
    </xf>
    <xf numFmtId="49" fontId="72" fillId="36" borderId="4" xfId="0" applyNumberFormat="1" applyFont="1" applyFill="1" applyBorder="1"/>
    <xf numFmtId="3" fontId="10" fillId="3" borderId="0" xfId="687" applyNumberFormat="1" applyFont="1" applyFill="1"/>
    <xf numFmtId="3" fontId="10" fillId="34" borderId="0" xfId="687" applyNumberFormat="1" applyFont="1" applyFill="1"/>
    <xf numFmtId="167" fontId="10" fillId="3" borderId="4" xfId="688" applyNumberFormat="1" applyFont="1" applyFill="1" applyBorder="1"/>
    <xf numFmtId="166" fontId="5" fillId="28" borderId="4" xfId="686" applyNumberFormat="1" applyFont="1" applyFill="1" applyBorder="1"/>
    <xf numFmtId="166" fontId="5" fillId="34" borderId="4" xfId="686" applyNumberFormat="1" applyFont="1" applyFill="1" applyBorder="1"/>
    <xf numFmtId="166" fontId="10" fillId="3" borderId="4" xfId="686" applyNumberFormat="1" applyFont="1" applyFill="1" applyBorder="1"/>
    <xf numFmtId="166" fontId="10" fillId="34" borderId="4" xfId="686" applyNumberFormat="1" applyFont="1" applyFill="1" applyBorder="1"/>
    <xf numFmtId="166" fontId="10" fillId="3" borderId="0" xfId="686" applyNumberFormat="1" applyFont="1" applyFill="1"/>
    <xf numFmtId="0" fontId="15" fillId="3" borderId="0" xfId="687" applyNumberFormat="1" applyFont="1" applyFill="1" applyBorder="1" applyAlignment="1">
      <alignment horizontal="center"/>
    </xf>
    <xf numFmtId="0" fontId="15" fillId="3" borderId="0" xfId="687" applyNumberFormat="1" applyFont="1" applyFill="1" applyBorder="1" applyAlignment="1">
      <alignment horizontal="left"/>
    </xf>
    <xf numFmtId="49" fontId="15" fillId="3" borderId="0" xfId="687" applyNumberFormat="1" applyFont="1" applyFill="1" applyBorder="1"/>
    <xf numFmtId="166" fontId="5" fillId="28" borderId="0" xfId="686" applyNumberFormat="1" applyFont="1" applyFill="1" applyBorder="1"/>
    <xf numFmtId="166" fontId="46" fillId="3" borderId="0" xfId="686" applyNumberFormat="1" applyFont="1" applyFill="1" applyBorder="1"/>
    <xf numFmtId="9" fontId="5" fillId="3" borderId="0" xfId="2" applyFont="1" applyFill="1" applyBorder="1"/>
    <xf numFmtId="3" fontId="5" fillId="3" borderId="0" xfId="688" applyNumberFormat="1" applyFont="1" applyFill="1" applyBorder="1"/>
    <xf numFmtId="166" fontId="5" fillId="34" borderId="0" xfId="686" applyNumberFormat="1" applyFont="1" applyFill="1" applyBorder="1"/>
    <xf numFmtId="166" fontId="73" fillId="3" borderId="0" xfId="686" applyNumberFormat="1" applyFont="1" applyFill="1" applyBorder="1"/>
    <xf numFmtId="166" fontId="14" fillId="4" borderId="4" xfId="686" applyNumberFormat="1" applyFont="1" applyFill="1" applyBorder="1" applyAlignment="1">
      <alignment wrapText="1"/>
    </xf>
    <xf numFmtId="0" fontId="70" fillId="2" borderId="1" xfId="0" applyNumberFormat="1" applyFont="1" applyFill="1" applyBorder="1" applyAlignment="1" applyProtection="1">
      <alignment horizontal="right" wrapText="1"/>
    </xf>
    <xf numFmtId="9" fontId="74" fillId="0" borderId="0" xfId="2" applyFont="1"/>
    <xf numFmtId="9" fontId="74" fillId="0" borderId="1" xfId="2" applyFont="1" applyBorder="1"/>
    <xf numFmtId="0" fontId="70" fillId="35" borderId="4" xfId="2599" applyNumberFormat="1" applyFont="1" applyFill="1" applyBorder="1" applyAlignment="1">
      <alignment horizontal="left"/>
    </xf>
    <xf numFmtId="0" fontId="35" fillId="34" borderId="2" xfId="0" applyNumberFormat="1" applyFont="1" applyFill="1" applyBorder="1" applyAlignment="1" applyProtection="1">
      <alignment horizontal="right" wrapText="1"/>
    </xf>
    <xf numFmtId="171" fontId="34" fillId="34" borderId="0" xfId="0" applyNumberFormat="1" applyFont="1" applyFill="1" applyBorder="1" applyAlignment="1" applyProtection="1">
      <alignment horizontal="right" wrapText="1"/>
    </xf>
    <xf numFmtId="0" fontId="34" fillId="34" borderId="1" xfId="0" applyNumberFormat="1" applyFont="1" applyFill="1" applyBorder="1" applyAlignment="1" applyProtection="1">
      <alignment horizontal="right" wrapText="1"/>
    </xf>
    <xf numFmtId="166" fontId="35" fillId="34" borderId="0" xfId="4" applyNumberFormat="1" applyFont="1" applyFill="1"/>
    <xf numFmtId="3" fontId="76" fillId="37" borderId="0" xfId="2993" applyNumberFormat="1" applyFont="1"/>
    <xf numFmtId="9" fontId="77" fillId="0" borderId="0" xfId="2" applyFont="1"/>
    <xf numFmtId="0" fontId="38" fillId="38" borderId="0" xfId="0" applyFont="1" applyFill="1"/>
    <xf numFmtId="0" fontId="38" fillId="38" borderId="0" xfId="0" applyFont="1" applyFill="1" applyAlignment="1">
      <alignment horizontal="left" indent="1"/>
    </xf>
    <xf numFmtId="9" fontId="38" fillId="38" borderId="0" xfId="2" applyFont="1" applyFill="1"/>
    <xf numFmtId="172" fontId="38" fillId="38" borderId="0" xfId="0" applyNumberFormat="1" applyFont="1" applyFill="1"/>
    <xf numFmtId="3" fontId="38" fillId="38" borderId="0" xfId="0" applyNumberFormat="1" applyFont="1" applyFill="1"/>
    <xf numFmtId="0" fontId="38" fillId="3" borderId="0" xfId="0" applyFont="1" applyFill="1"/>
    <xf numFmtId="0" fontId="38" fillId="3" borderId="0" xfId="0" applyFont="1" applyFill="1" applyAlignment="1">
      <alignment horizontal="left" indent="1"/>
    </xf>
    <xf numFmtId="166" fontId="38" fillId="3" borderId="0" xfId="0" applyNumberFormat="1" applyFont="1" applyFill="1"/>
    <xf numFmtId="9" fontId="38" fillId="3" borderId="0" xfId="2" applyFont="1" applyFill="1"/>
    <xf numFmtId="172" fontId="38" fillId="3" borderId="0" xfId="0" applyNumberFormat="1" applyFont="1" applyFill="1"/>
    <xf numFmtId="3" fontId="38" fillId="3" borderId="0" xfId="0" applyNumberFormat="1" applyFont="1" applyFill="1"/>
    <xf numFmtId="3" fontId="44" fillId="38" borderId="0" xfId="0" applyNumberFormat="1" applyFont="1" applyFill="1"/>
    <xf numFmtId="172" fontId="41" fillId="0" borderId="0" xfId="0" applyNumberFormat="1" applyFont="1" applyFill="1"/>
    <xf numFmtId="0" fontId="41" fillId="0" borderId="0" xfId="0" applyFont="1" applyFill="1" applyAlignment="1">
      <alignment horizontal="left"/>
    </xf>
    <xf numFmtId="3" fontId="41" fillId="0" borderId="0" xfId="0" applyNumberFormat="1" applyFont="1" applyFill="1"/>
    <xf numFmtId="9" fontId="41" fillId="0" borderId="0" xfId="2" applyFont="1" applyFill="1"/>
    <xf numFmtId="172" fontId="44" fillId="0" borderId="0" xfId="688" applyNumberFormat="1" applyFont="1" applyFill="1"/>
    <xf numFmtId="9" fontId="77" fillId="0" borderId="0" xfId="2" applyFont="1" applyFill="1"/>
    <xf numFmtId="9" fontId="77" fillId="38" borderId="0" xfId="2" applyFont="1" applyFill="1"/>
    <xf numFmtId="166" fontId="17" fillId="0" borderId="0" xfId="737" applyNumberFormat="1" applyFill="1" applyBorder="1"/>
    <xf numFmtId="172" fontId="38" fillId="0" borderId="0" xfId="0" applyNumberFormat="1" applyFont="1" applyBorder="1"/>
    <xf numFmtId="9" fontId="77" fillId="0" borderId="0" xfId="2" applyFont="1" applyBorder="1"/>
    <xf numFmtId="167" fontId="45" fillId="0" borderId="0" xfId="688" applyNumberFormat="1" applyFont="1" applyFill="1" applyBorder="1"/>
    <xf numFmtId="3" fontId="41" fillId="38" borderId="0" xfId="0" applyNumberFormat="1" applyFont="1" applyFill="1"/>
    <xf numFmtId="172" fontId="37" fillId="0" borderId="0" xfId="0" applyNumberFormat="1" applyFont="1" applyFill="1"/>
    <xf numFmtId="9" fontId="38" fillId="38" borderId="0" xfId="688" applyFont="1" applyFill="1"/>
    <xf numFmtId="3" fontId="41" fillId="0" borderId="23" xfId="0" applyNumberFormat="1" applyFont="1" applyBorder="1"/>
    <xf numFmtId="9" fontId="41" fillId="0" borderId="22" xfId="2" applyFont="1" applyBorder="1"/>
    <xf numFmtId="9" fontId="41" fillId="0" borderId="24" xfId="2" applyFont="1" applyBorder="1"/>
    <xf numFmtId="3" fontId="78" fillId="0" borderId="0" xfId="0" applyNumberFormat="1" applyFont="1"/>
    <xf numFmtId="174" fontId="79" fillId="30" borderId="2" xfId="0" applyNumberFormat="1" applyFont="1" applyFill="1" applyBorder="1" applyAlignment="1" applyProtection="1">
      <alignment horizontal="right" wrapText="1"/>
    </xf>
    <xf numFmtId="171" fontId="80" fillId="30" borderId="0" xfId="0" applyNumberFormat="1" applyFont="1" applyFill="1" applyBorder="1" applyAlignment="1" applyProtection="1">
      <alignment horizontal="right" wrapText="1"/>
    </xf>
    <xf numFmtId="0" fontId="78" fillId="0" borderId="0" xfId="0" applyFont="1" applyAlignment="1">
      <alignment horizontal="right"/>
    </xf>
    <xf numFmtId="3" fontId="78" fillId="0" borderId="0" xfId="0" applyNumberFormat="1" applyFont="1" applyBorder="1"/>
    <xf numFmtId="3" fontId="78" fillId="0" borderId="0" xfId="0" applyNumberFormat="1" applyFont="1" applyFill="1"/>
    <xf numFmtId="3" fontId="78" fillId="38" borderId="0" xfId="0" applyNumberFormat="1" applyFont="1" applyFill="1"/>
    <xf numFmtId="3" fontId="78" fillId="3" borderId="0" xfId="0" applyNumberFormat="1" applyFont="1" applyFill="1"/>
    <xf numFmtId="0" fontId="78" fillId="0" borderId="0" xfId="0" applyFont="1"/>
    <xf numFmtId="3" fontId="38" fillId="0" borderId="0" xfId="0" applyNumberFormat="1" applyFont="1" applyFill="1" applyBorder="1"/>
    <xf numFmtId="174" fontId="35" fillId="0" borderId="0" xfId="0" applyNumberFormat="1" applyFont="1" applyFill="1" applyBorder="1" applyAlignment="1" applyProtection="1">
      <alignment horizontal="right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3" fontId="78" fillId="0" borderId="1" xfId="0" applyNumberFormat="1" applyFont="1" applyBorder="1"/>
    <xf numFmtId="3" fontId="78" fillId="0" borderId="1" xfId="0" applyNumberFormat="1" applyFont="1" applyFill="1" applyBorder="1"/>
    <xf numFmtId="0" fontId="81" fillId="30" borderId="1" xfId="0" applyNumberFormat="1" applyFont="1" applyFill="1" applyBorder="1" applyAlignment="1" applyProtection="1">
      <alignment horizontal="right" wrapText="1"/>
    </xf>
    <xf numFmtId="0" fontId="81" fillId="39" borderId="1" xfId="0" applyNumberFormat="1" applyFont="1" applyFill="1" applyBorder="1" applyAlignment="1" applyProtection="1">
      <alignment horizontal="right" wrapText="1"/>
    </xf>
    <xf numFmtId="3" fontId="38" fillId="34" borderId="0" xfId="0" applyNumberFormat="1" applyFont="1" applyFill="1"/>
    <xf numFmtId="166" fontId="17" fillId="0" borderId="0" xfId="737" applyNumberFormat="1" applyFill="1"/>
    <xf numFmtId="172" fontId="17" fillId="0" borderId="0" xfId="737" applyNumberFormat="1" applyFill="1"/>
    <xf numFmtId="0" fontId="17" fillId="0" borderId="0" xfId="737" applyFill="1" applyAlignment="1">
      <alignment horizontal="left" indent="1"/>
    </xf>
    <xf numFmtId="0" fontId="37" fillId="0" borderId="0" xfId="0" applyFont="1" applyFill="1" applyAlignment="1">
      <alignment horizontal="left" indent="1"/>
    </xf>
    <xf numFmtId="0" fontId="34" fillId="39" borderId="1" xfId="0" applyNumberFormat="1" applyFont="1" applyFill="1" applyBorder="1" applyAlignment="1" applyProtection="1">
      <alignment horizontal="right" wrapText="1"/>
    </xf>
    <xf numFmtId="166" fontId="50" fillId="0" borderId="0" xfId="0" applyNumberFormat="1" applyFont="1" applyFill="1"/>
    <xf numFmtId="166" fontId="49" fillId="34" borderId="0" xfId="0" applyNumberFormat="1" applyFont="1" applyFill="1"/>
    <xf numFmtId="0" fontId="56" fillId="0" borderId="2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0" fontId="56" fillId="0" borderId="0" xfId="0" applyFont="1" applyBorder="1" applyAlignment="1">
      <alignment horizontal="left"/>
    </xf>
    <xf numFmtId="3" fontId="56" fillId="0" borderId="0" xfId="0" applyNumberFormat="1" applyFont="1" applyBorder="1"/>
    <xf numFmtId="0" fontId="41" fillId="0" borderId="0" xfId="0" applyFont="1" applyBorder="1"/>
    <xf numFmtId="3" fontId="14" fillId="0" borderId="4" xfId="686" applyNumberFormat="1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center"/>
    </xf>
    <xf numFmtId="166" fontId="49" fillId="3" borderId="0" xfId="0" applyNumberFormat="1" applyFont="1" applyFill="1"/>
    <xf numFmtId="175" fontId="38" fillId="0" borderId="0" xfId="0" applyNumberFormat="1" applyFont="1"/>
    <xf numFmtId="166" fontId="40" fillId="34" borderId="0" xfId="0" applyNumberFormat="1" applyFont="1" applyFill="1"/>
    <xf numFmtId="166" fontId="38" fillId="4" borderId="0" xfId="0" applyNumberFormat="1" applyFont="1" applyFill="1"/>
    <xf numFmtId="0" fontId="82" fillId="0" borderId="0" xfId="0" applyFont="1"/>
    <xf numFmtId="0" fontId="41" fillId="0" borderId="0" xfId="0" applyFont="1" applyFill="1" applyBorder="1"/>
    <xf numFmtId="9" fontId="38" fillId="4" borderId="0" xfId="2" applyFont="1" applyFill="1"/>
    <xf numFmtId="9" fontId="44" fillId="0" borderId="0" xfId="2" applyFont="1"/>
    <xf numFmtId="166" fontId="44" fillId="0" borderId="0" xfId="0" applyNumberFormat="1" applyFont="1"/>
    <xf numFmtId="0" fontId="54" fillId="0" borderId="0" xfId="0" applyFont="1"/>
    <xf numFmtId="0" fontId="44" fillId="0" borderId="0" xfId="0" applyFont="1" applyFill="1" applyBorder="1"/>
    <xf numFmtId="176" fontId="44" fillId="0" borderId="0" xfId="0" applyNumberFormat="1" applyFont="1" applyFill="1"/>
    <xf numFmtId="167" fontId="44" fillId="0" borderId="0" xfId="2" applyNumberFormat="1" applyFont="1"/>
    <xf numFmtId="166" fontId="44" fillId="0" borderId="0" xfId="0" applyNumberFormat="1" applyFont="1" applyFill="1"/>
    <xf numFmtId="9" fontId="37" fillId="0" borderId="0" xfId="2" applyFont="1" applyFill="1"/>
    <xf numFmtId="9" fontId="49" fillId="4" borderId="0" xfId="2" applyFont="1" applyFill="1"/>
    <xf numFmtId="3" fontId="48" fillId="4" borderId="0" xfId="0" applyNumberFormat="1" applyFont="1" applyFill="1"/>
    <xf numFmtId="3" fontId="51" fillId="4" borderId="0" xfId="0" applyNumberFormat="1" applyFont="1" applyFill="1"/>
    <xf numFmtId="166" fontId="49" fillId="0" borderId="0" xfId="0" applyNumberFormat="1" applyFont="1"/>
    <xf numFmtId="0" fontId="49" fillId="4" borderId="0" xfId="0" applyFont="1" applyFill="1"/>
    <xf numFmtId="3" fontId="6" fillId="4" borderId="16" xfId="0" applyNumberFormat="1" applyFont="1" applyFill="1" applyBorder="1"/>
    <xf numFmtId="167" fontId="11" fillId="4" borderId="0" xfId="2" applyNumberFormat="1" applyFont="1" applyFill="1"/>
    <xf numFmtId="0" fontId="11" fillId="4" borderId="0" xfId="4" applyFont="1" applyFill="1"/>
  </cellXfs>
  <cellStyles count="3555">
    <cellStyle name="20 % – Zvýraznění1 2" xfId="689"/>
    <cellStyle name="20 % – Zvýraznění2 2" xfId="690"/>
    <cellStyle name="20 % – Zvýraznění3 2" xfId="691"/>
    <cellStyle name="20 % – Zvýraznění4 2" xfId="692"/>
    <cellStyle name="20 % – Zvýraznění5 2" xfId="693"/>
    <cellStyle name="20 % – Zvýraznění6 2" xfId="694"/>
    <cellStyle name="40 % – Zvýraznění1 2" xfId="695"/>
    <cellStyle name="40 % – Zvýraznění2 2" xfId="696"/>
    <cellStyle name="40 % – Zvýraznění3 2" xfId="697"/>
    <cellStyle name="40 % – Zvýraznění4 2" xfId="698"/>
    <cellStyle name="40 % – Zvýraznění5 2" xfId="699"/>
    <cellStyle name="40 % – Zvýraznění6 2" xfId="700"/>
    <cellStyle name="60 % – Zvýraznění1 2" xfId="701"/>
    <cellStyle name="60 % – Zvýraznění2 2" xfId="702"/>
    <cellStyle name="60 % – Zvýraznění3 2" xfId="703"/>
    <cellStyle name="60 % – Zvýraznění4 2" xfId="704"/>
    <cellStyle name="60 % – Zvýraznění5 2" xfId="705"/>
    <cellStyle name="60 % – Zvýraznění6 2" xfId="706"/>
    <cellStyle name="Celkem 2" xfId="707"/>
    <cellStyle name="Comma 2" xfId="6"/>
    <cellStyle name="Comma 2 2" xfId="685"/>
    <cellStyle name="Comma 3" xfId="709"/>
    <cellStyle name="Čárka 2" xfId="8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Hypertextový odkaz" xfId="222" builtinId="8" hidden="1"/>
    <cellStyle name="Hypertextový odkaz" xfId="224" builtinId="8" hidden="1"/>
    <cellStyle name="Hypertextový odkaz" xfId="226" builtinId="8" hidden="1"/>
    <cellStyle name="Hypertextový odkaz" xfId="228" builtinId="8" hidden="1"/>
    <cellStyle name="Hypertextový odkaz" xfId="230" builtinId="8" hidden="1"/>
    <cellStyle name="Hypertextový odkaz" xfId="232" builtinId="8" hidden="1"/>
    <cellStyle name="Hypertextový odkaz" xfId="234" builtinId="8" hidden="1"/>
    <cellStyle name="Hypertextový odkaz" xfId="236" builtinId="8" hidden="1"/>
    <cellStyle name="Hypertextový odkaz" xfId="238" builtinId="8" hidden="1"/>
    <cellStyle name="Hypertextový odkaz" xfId="240" builtinId="8" hidden="1"/>
    <cellStyle name="Hypertextový odkaz" xfId="242" builtinId="8" hidden="1"/>
    <cellStyle name="Hypertextový odkaz" xfId="244" builtinId="8" hidden="1"/>
    <cellStyle name="Hypertextový odkaz" xfId="246" builtinId="8" hidden="1"/>
    <cellStyle name="Hypertextový odkaz" xfId="248" builtinId="8" hidden="1"/>
    <cellStyle name="Hypertextový odkaz" xfId="250" builtinId="8" hidden="1"/>
    <cellStyle name="Hypertextový odkaz" xfId="252" builtinId="8" hidden="1"/>
    <cellStyle name="Hypertextový odkaz" xfId="254" builtinId="8" hidden="1"/>
    <cellStyle name="Hypertextový odkaz" xfId="256" builtinId="8" hidden="1"/>
    <cellStyle name="Hypertextový odkaz" xfId="258" builtinId="8" hidden="1"/>
    <cellStyle name="Hypertextový odkaz" xfId="260" builtinId="8" hidden="1"/>
    <cellStyle name="Hypertextový odkaz" xfId="262" builtinId="8" hidden="1"/>
    <cellStyle name="Hypertextový odkaz" xfId="264" builtinId="8" hidden="1"/>
    <cellStyle name="Hypertextový odkaz" xfId="266" builtinId="8" hidden="1"/>
    <cellStyle name="Hypertextový odkaz" xfId="268" builtinId="8" hidden="1"/>
    <cellStyle name="Hypertextový odkaz" xfId="270" builtinId="8" hidden="1"/>
    <cellStyle name="Hypertextový odkaz" xfId="272" builtinId="8" hidden="1"/>
    <cellStyle name="Hypertextový odkaz" xfId="274" builtinId="8" hidden="1"/>
    <cellStyle name="Hypertextový odkaz" xfId="276" builtinId="8" hidden="1"/>
    <cellStyle name="Hypertextový odkaz" xfId="278" builtinId="8" hidden="1"/>
    <cellStyle name="Hypertextový odkaz" xfId="280" builtinId="8" hidden="1"/>
    <cellStyle name="Hypertextový odkaz" xfId="282" builtinId="8" hidden="1"/>
    <cellStyle name="Hypertextový odkaz" xfId="284" builtinId="8" hidden="1"/>
    <cellStyle name="Hypertextový odkaz" xfId="286" builtinId="8" hidden="1"/>
    <cellStyle name="Hypertextový odkaz" xfId="288" builtinId="8" hidden="1"/>
    <cellStyle name="Hypertextový odkaz" xfId="290" builtinId="8" hidden="1"/>
    <cellStyle name="Hypertextový odkaz" xfId="292" builtinId="8" hidden="1"/>
    <cellStyle name="Hypertextový odkaz" xfId="294" builtinId="8" hidden="1"/>
    <cellStyle name="Hypertextový odkaz" xfId="296" builtinId="8" hidden="1"/>
    <cellStyle name="Hypertextový odkaz" xfId="298" builtinId="8" hidden="1"/>
    <cellStyle name="Hypertextový odkaz" xfId="300" builtinId="8" hidden="1"/>
    <cellStyle name="Hypertextový odkaz" xfId="302" builtinId="8" hidden="1"/>
    <cellStyle name="Hypertextový odkaz" xfId="304" builtinId="8" hidden="1"/>
    <cellStyle name="Hypertextový odkaz" xfId="306" builtinId="8" hidden="1"/>
    <cellStyle name="Hypertextový odkaz" xfId="308" builtinId="8" hidden="1"/>
    <cellStyle name="Hypertextový odkaz" xfId="310" builtinId="8" hidden="1"/>
    <cellStyle name="Hypertextový odkaz" xfId="312" builtinId="8" hidden="1"/>
    <cellStyle name="Hypertextový odkaz" xfId="314" builtinId="8" hidden="1"/>
    <cellStyle name="Hypertextový odkaz" xfId="316" builtinId="8" hidden="1"/>
    <cellStyle name="Hypertextový odkaz" xfId="318" builtinId="8" hidden="1"/>
    <cellStyle name="Hypertextový odkaz" xfId="320" builtinId="8" hidden="1"/>
    <cellStyle name="Hypertextový odkaz" xfId="322" builtinId="8" hidden="1"/>
    <cellStyle name="Hypertextový odkaz" xfId="324" builtinId="8" hidden="1"/>
    <cellStyle name="Hypertextový odkaz" xfId="326" builtinId="8" hidden="1"/>
    <cellStyle name="Hypertextový odkaz" xfId="328" builtinId="8" hidden="1"/>
    <cellStyle name="Hypertextový odkaz" xfId="330" builtinId="8" hidden="1"/>
    <cellStyle name="Hypertextový odkaz" xfId="333" builtinId="8" hidden="1"/>
    <cellStyle name="Hypertextový odkaz" xfId="335" builtinId="8" hidden="1"/>
    <cellStyle name="Hypertextový odkaz" xfId="337" builtinId="8" hidden="1"/>
    <cellStyle name="Hypertextový odkaz" xfId="339" builtinId="8" hidden="1"/>
    <cellStyle name="Hypertextový odkaz" xfId="341" builtinId="8" hidden="1"/>
    <cellStyle name="Hypertextový odkaz" xfId="343" builtinId="8" hidden="1"/>
    <cellStyle name="Hypertextový odkaz" xfId="345" builtinId="8" hidden="1"/>
    <cellStyle name="Hypertextový odkaz" xfId="347" builtinId="8" hidden="1"/>
    <cellStyle name="Hypertextový odkaz" xfId="349" builtinId="8" hidden="1"/>
    <cellStyle name="Hypertextový odkaz" xfId="351" builtinId="8" hidden="1"/>
    <cellStyle name="Hypertextový odkaz" xfId="353" builtinId="8" hidden="1"/>
    <cellStyle name="Hypertextový odkaz" xfId="355" builtinId="8" hidden="1"/>
    <cellStyle name="Hypertextový odkaz" xfId="357" builtinId="8" hidden="1"/>
    <cellStyle name="Hypertextový odkaz" xfId="359" builtinId="8" hidden="1"/>
    <cellStyle name="Hypertextový odkaz" xfId="361" builtinId="8" hidden="1"/>
    <cellStyle name="Hypertextový odkaz" xfId="363" builtinId="8" hidden="1"/>
    <cellStyle name="Hypertextový odkaz" xfId="365" builtinId="8" hidden="1"/>
    <cellStyle name="Hypertextový odkaz" xfId="367" builtinId="8" hidden="1"/>
    <cellStyle name="Hypertextový odkaz" xfId="369" builtinId="8" hidden="1"/>
    <cellStyle name="Hypertextový odkaz" xfId="371" builtinId="8" hidden="1"/>
    <cellStyle name="Hypertextový odkaz" xfId="373" builtinId="8" hidden="1"/>
    <cellStyle name="Hypertextový odkaz" xfId="375" builtinId="8" hidden="1"/>
    <cellStyle name="Hypertextový odkaz" xfId="377" builtinId="8" hidden="1"/>
    <cellStyle name="Hypertextový odkaz" xfId="379" builtinId="8" hidden="1"/>
    <cellStyle name="Hypertextový odkaz" xfId="381" builtinId="8" hidden="1"/>
    <cellStyle name="Hypertextový odkaz" xfId="383" builtinId="8" hidden="1"/>
    <cellStyle name="Hypertextový odkaz" xfId="385" builtinId="8" hidden="1"/>
    <cellStyle name="Hypertextový odkaz" xfId="387" builtinId="8" hidden="1"/>
    <cellStyle name="Hypertextový odkaz" xfId="389" builtinId="8" hidden="1"/>
    <cellStyle name="Hypertextový odkaz" xfId="391" builtinId="8" hidden="1"/>
    <cellStyle name="Hypertextový odkaz" xfId="393" builtinId="8" hidden="1"/>
    <cellStyle name="Hypertextový odkaz" xfId="395" builtinId="8" hidden="1"/>
    <cellStyle name="Hypertextový odkaz" xfId="397" builtinId="8" hidden="1"/>
    <cellStyle name="Hypertextový odkaz" xfId="399" builtinId="8" hidden="1"/>
    <cellStyle name="Hypertextový odkaz" xfId="401" builtinId="8" hidden="1"/>
    <cellStyle name="Hypertextový odkaz" xfId="403" builtinId="8" hidden="1"/>
    <cellStyle name="Hypertextový odkaz" xfId="405" builtinId="8" hidden="1"/>
    <cellStyle name="Hypertextový odkaz" xfId="407" builtinId="8" hidden="1"/>
    <cellStyle name="Hypertextový odkaz" xfId="409" builtinId="8" hidden="1"/>
    <cellStyle name="Hypertextový odkaz" xfId="411" builtinId="8" hidden="1"/>
    <cellStyle name="Hypertextový odkaz" xfId="413" builtinId="8" hidden="1"/>
    <cellStyle name="Hypertextový odkaz" xfId="415" builtinId="8" hidden="1"/>
    <cellStyle name="Hypertextový odkaz" xfId="417" builtinId="8" hidden="1"/>
    <cellStyle name="Hypertextový odkaz" xfId="419" builtinId="8" hidden="1"/>
    <cellStyle name="Hypertextový odkaz" xfId="421" builtinId="8" hidden="1"/>
    <cellStyle name="Hypertextový odkaz" xfId="423" builtinId="8" hidden="1"/>
    <cellStyle name="Hypertextový odkaz" xfId="425" builtinId="8" hidden="1"/>
    <cellStyle name="Hypertextový odkaz" xfId="427" builtinId="8" hidden="1"/>
    <cellStyle name="Hypertextový odkaz" xfId="429" builtinId="8" hidden="1"/>
    <cellStyle name="Hypertextový odkaz" xfId="431" builtinId="8" hidden="1"/>
    <cellStyle name="Hypertextový odkaz" xfId="433" builtinId="8" hidden="1"/>
    <cellStyle name="Hypertextový odkaz" xfId="435" builtinId="8" hidden="1"/>
    <cellStyle name="Hypertextový odkaz" xfId="437" builtinId="8" hidden="1"/>
    <cellStyle name="Hypertextový odkaz" xfId="439" builtinId="8" hidden="1"/>
    <cellStyle name="Hypertextový odkaz" xfId="441" builtinId="8" hidden="1"/>
    <cellStyle name="Hypertextový odkaz" xfId="443" builtinId="8" hidden="1"/>
    <cellStyle name="Hypertextový odkaz" xfId="445" builtinId="8" hidden="1"/>
    <cellStyle name="Hypertextový odkaz" xfId="447" builtinId="8" hidden="1"/>
    <cellStyle name="Hypertextový odkaz" xfId="449" builtinId="8" hidden="1"/>
    <cellStyle name="Hypertextový odkaz" xfId="451" builtinId="8" hidden="1"/>
    <cellStyle name="Hypertextový odkaz" xfId="453" builtinId="8" hidden="1"/>
    <cellStyle name="Hypertextový odkaz" xfId="455" builtinId="8" hidden="1"/>
    <cellStyle name="Hypertextový odkaz" xfId="457" builtinId="8" hidden="1"/>
    <cellStyle name="Hypertextový odkaz" xfId="459" builtinId="8" hidden="1"/>
    <cellStyle name="Hypertextový odkaz" xfId="461" builtinId="8" hidden="1"/>
    <cellStyle name="Hypertextový odkaz" xfId="463" builtinId="8" hidden="1"/>
    <cellStyle name="Hypertextový odkaz" xfId="465" builtinId="8" hidden="1"/>
    <cellStyle name="Hypertextový odkaz" xfId="467" builtinId="8" hidden="1"/>
    <cellStyle name="Hypertextový odkaz" xfId="469" builtinId="8" hidden="1"/>
    <cellStyle name="Hypertextový odkaz" xfId="471" builtinId="8" hidden="1"/>
    <cellStyle name="Hypertextový odkaz" xfId="473" builtinId="8" hidden="1"/>
    <cellStyle name="Hypertextový odkaz" xfId="475" builtinId="8" hidden="1"/>
    <cellStyle name="Hypertextový odkaz" xfId="477" builtinId="8" hidden="1"/>
    <cellStyle name="Hypertextový odkaz" xfId="479" builtinId="8" hidden="1"/>
    <cellStyle name="Hypertextový odkaz" xfId="481" builtinId="8" hidden="1"/>
    <cellStyle name="Hypertextový odkaz" xfId="483" builtinId="8" hidden="1"/>
    <cellStyle name="Hypertextový odkaz" xfId="485" builtinId="8" hidden="1"/>
    <cellStyle name="Hypertextový odkaz" xfId="487" builtinId="8" hidden="1"/>
    <cellStyle name="Hypertextový odkaz" xfId="489" builtinId="8" hidden="1"/>
    <cellStyle name="Hypertextový odkaz" xfId="491" builtinId="8" hidden="1"/>
    <cellStyle name="Hypertextový odkaz" xfId="493" builtinId="8" hidden="1"/>
    <cellStyle name="Hypertextový odkaz" xfId="495" builtinId="8" hidden="1"/>
    <cellStyle name="Hypertextový odkaz" xfId="497" builtinId="8" hidden="1"/>
    <cellStyle name="Hypertextový odkaz" xfId="499" builtinId="8" hidden="1"/>
    <cellStyle name="Hypertextový odkaz" xfId="501" builtinId="8" hidden="1"/>
    <cellStyle name="Hypertextový odkaz" xfId="503" builtinId="8" hidden="1"/>
    <cellStyle name="Hypertextový odkaz" xfId="505" builtinId="8" hidden="1"/>
    <cellStyle name="Hypertextový odkaz" xfId="507" builtinId="8" hidden="1"/>
    <cellStyle name="Hypertextový odkaz" xfId="509" builtinId="8" hidden="1"/>
    <cellStyle name="Hypertextový odkaz" xfId="511" builtinId="8" hidden="1"/>
    <cellStyle name="Hypertextový odkaz" xfId="513" builtinId="8" hidden="1"/>
    <cellStyle name="Hypertextový odkaz" xfId="515" builtinId="8" hidden="1"/>
    <cellStyle name="Hypertextový odkaz" xfId="517" builtinId="8" hidden="1"/>
    <cellStyle name="Hypertextový odkaz" xfId="519" builtinId="8" hidden="1"/>
    <cellStyle name="Hypertextový odkaz" xfId="521" builtinId="8" hidden="1"/>
    <cellStyle name="Hypertextový odkaz" xfId="523" builtinId="8" hidden="1"/>
    <cellStyle name="Hypertextový odkaz" xfId="525" builtinId="8" hidden="1"/>
    <cellStyle name="Hypertextový odkaz" xfId="527" builtinId="8" hidden="1"/>
    <cellStyle name="Hypertextový odkaz" xfId="529" builtinId="8" hidden="1"/>
    <cellStyle name="Hypertextový odkaz" xfId="531" builtinId="8" hidden="1"/>
    <cellStyle name="Hypertextový odkaz" xfId="533" builtinId="8" hidden="1"/>
    <cellStyle name="Hypertextový odkaz" xfId="535" builtinId="8" hidden="1"/>
    <cellStyle name="Hypertextový odkaz" xfId="537" builtinId="8" hidden="1"/>
    <cellStyle name="Hypertextový odkaz" xfId="539" builtinId="8" hidden="1"/>
    <cellStyle name="Hypertextový odkaz" xfId="541" builtinId="8" hidden="1"/>
    <cellStyle name="Hypertextový odkaz" xfId="543" builtinId="8" hidden="1"/>
    <cellStyle name="Hypertextový odkaz" xfId="545" builtinId="8" hidden="1"/>
    <cellStyle name="Hypertextový odkaz" xfId="547" builtinId="8" hidden="1"/>
    <cellStyle name="Hypertextový odkaz" xfId="549" builtinId="8" hidden="1"/>
    <cellStyle name="Hypertextový odkaz" xfId="551" builtinId="8" hidden="1"/>
    <cellStyle name="Hypertextový odkaz" xfId="553" builtinId="8" hidden="1"/>
    <cellStyle name="Hypertextový odkaz" xfId="555" builtinId="8" hidden="1"/>
    <cellStyle name="Hypertextový odkaz" xfId="557" builtinId="8" hidden="1"/>
    <cellStyle name="Hypertextový odkaz" xfId="559" builtinId="8" hidden="1"/>
    <cellStyle name="Hypertextový odkaz" xfId="561" builtinId="8" hidden="1"/>
    <cellStyle name="Hypertextový odkaz" xfId="563" builtinId="8" hidden="1"/>
    <cellStyle name="Hypertextový odkaz" xfId="565" builtinId="8" hidden="1"/>
    <cellStyle name="Hypertextový odkaz" xfId="567" builtinId="8" hidden="1"/>
    <cellStyle name="Hypertextový odkaz" xfId="569" builtinId="8" hidden="1"/>
    <cellStyle name="Hypertextový odkaz" xfId="571" builtinId="8" hidden="1"/>
    <cellStyle name="Hypertextový odkaz" xfId="573" builtinId="8" hidden="1"/>
    <cellStyle name="Hypertextový odkaz" xfId="575" builtinId="8" hidden="1"/>
    <cellStyle name="Hypertextový odkaz" xfId="577" builtinId="8" hidden="1"/>
    <cellStyle name="Hypertextový odkaz" xfId="579" builtinId="8" hidden="1"/>
    <cellStyle name="Hypertextový odkaz" xfId="581" builtinId="8" hidden="1"/>
    <cellStyle name="Hypertextový odkaz" xfId="583" builtinId="8" hidden="1"/>
    <cellStyle name="Hypertextový odkaz" xfId="585" builtinId="8" hidden="1"/>
    <cellStyle name="Hypertextový odkaz" xfId="587" builtinId="8" hidden="1"/>
    <cellStyle name="Hypertextový odkaz" xfId="589" builtinId="8" hidden="1"/>
    <cellStyle name="Hypertextový odkaz" xfId="591" builtinId="8" hidden="1"/>
    <cellStyle name="Hypertextový odkaz" xfId="593" builtinId="8" hidden="1"/>
    <cellStyle name="Hypertextový odkaz" xfId="595" builtinId="8" hidden="1"/>
    <cellStyle name="Hypertextový odkaz" xfId="597" builtinId="8" hidden="1"/>
    <cellStyle name="Hypertextový odkaz" xfId="599" builtinId="8" hidden="1"/>
    <cellStyle name="Hypertextový odkaz" xfId="601" builtinId="8" hidden="1"/>
    <cellStyle name="Hypertextový odkaz" xfId="603" builtinId="8" hidden="1"/>
    <cellStyle name="Hypertextový odkaz" xfId="605" builtinId="8" hidden="1"/>
    <cellStyle name="Hypertextový odkaz" xfId="607" builtinId="8" hidden="1"/>
    <cellStyle name="Hypertextový odkaz" xfId="609" builtinId="8" hidden="1"/>
    <cellStyle name="Hypertextový odkaz" xfId="611" builtinId="8" hidden="1"/>
    <cellStyle name="Hypertextový odkaz" xfId="613" builtinId="8" hidden="1"/>
    <cellStyle name="Hypertextový odkaz" xfId="615" builtinId="8" hidden="1"/>
    <cellStyle name="Hypertextový odkaz" xfId="617" builtinId="8" hidden="1"/>
    <cellStyle name="Hypertextový odkaz" xfId="619" builtinId="8" hidden="1"/>
    <cellStyle name="Hypertextový odkaz" xfId="621" builtinId="8" hidden="1"/>
    <cellStyle name="Hypertextový odkaz" xfId="623" builtinId="8" hidden="1"/>
    <cellStyle name="Hypertextový odkaz" xfId="625" builtinId="8" hidden="1"/>
    <cellStyle name="Hypertextový odkaz" xfId="627" builtinId="8" hidden="1"/>
    <cellStyle name="Hypertextový odkaz" xfId="629" builtinId="8" hidden="1"/>
    <cellStyle name="Hypertextový odkaz" xfId="631" builtinId="8" hidden="1"/>
    <cellStyle name="Hypertextový odkaz" xfId="633" builtinId="8" hidden="1"/>
    <cellStyle name="Hypertextový odkaz" xfId="635" builtinId="8" hidden="1"/>
    <cellStyle name="Hypertextový odkaz" xfId="637" builtinId="8" hidden="1"/>
    <cellStyle name="Hypertextový odkaz" xfId="639" builtinId="8" hidden="1"/>
    <cellStyle name="Hypertextový odkaz" xfId="641" builtinId="8" hidden="1"/>
    <cellStyle name="Hypertextový odkaz" xfId="643" builtinId="8" hidden="1"/>
    <cellStyle name="Hypertextový odkaz" xfId="645" builtinId="8" hidden="1"/>
    <cellStyle name="Hypertextový odkaz" xfId="647" builtinId="8" hidden="1"/>
    <cellStyle name="Hypertextový odkaz" xfId="649" builtinId="8" hidden="1"/>
    <cellStyle name="Hypertextový odkaz" xfId="651" builtinId="8" hidden="1"/>
    <cellStyle name="Hypertextový odkaz" xfId="653" builtinId="8" hidden="1"/>
    <cellStyle name="Hypertextový odkaz" xfId="655" builtinId="8" hidden="1"/>
    <cellStyle name="Hypertextový odkaz" xfId="657" builtinId="8" hidden="1"/>
    <cellStyle name="Hypertextový odkaz" xfId="659" builtinId="8" hidden="1"/>
    <cellStyle name="Hypertextový odkaz" xfId="661" builtinId="8" hidden="1"/>
    <cellStyle name="Hypertextový odkaz" xfId="663" builtinId="8" hidden="1"/>
    <cellStyle name="Hypertextový odkaz" xfId="665" builtinId="8" hidden="1"/>
    <cellStyle name="Hypertextový odkaz" xfId="667" builtinId="8" hidden="1"/>
    <cellStyle name="Hypertextový odkaz" xfId="669" builtinId="8" hidden="1"/>
    <cellStyle name="Hypertextový odkaz" xfId="671" builtinId="8" hidden="1"/>
    <cellStyle name="Hypertextový odkaz" xfId="673" builtinId="8" hidden="1"/>
    <cellStyle name="Hypertextový odkaz" xfId="675" builtinId="8" hidden="1"/>
    <cellStyle name="Hypertextový odkaz" xfId="677" builtinId="8" hidden="1"/>
    <cellStyle name="Hypertextový odkaz" xfId="679" builtinId="8" hidden="1"/>
    <cellStyle name="Hypertextový odkaz" xfId="681" builtinId="8" hidden="1"/>
    <cellStyle name="Hypertextový odkaz" xfId="683" builtinId="8" hidden="1"/>
    <cellStyle name="Hypertextový odkaz" xfId="738" builtinId="8" hidden="1"/>
    <cellStyle name="Hypertextový odkaz" xfId="740" builtinId="8" hidden="1"/>
    <cellStyle name="Hypertextový odkaz" xfId="742" builtinId="8" hidden="1"/>
    <cellStyle name="Hypertextový odkaz" xfId="744" builtinId="8" hidden="1"/>
    <cellStyle name="Hypertextový odkaz" xfId="746" builtinId="8" hidden="1"/>
    <cellStyle name="Hypertextový odkaz" xfId="748" builtinId="8" hidden="1"/>
    <cellStyle name="Hypertextový odkaz" xfId="750" builtinId="8" hidden="1"/>
    <cellStyle name="Hypertextový odkaz" xfId="752" builtinId="8" hidden="1"/>
    <cellStyle name="Hypertextový odkaz" xfId="754" builtinId="8" hidden="1"/>
    <cellStyle name="Hypertextový odkaz" xfId="756" builtinId="8" hidden="1"/>
    <cellStyle name="Hypertextový odkaz" xfId="758" builtinId="8" hidden="1"/>
    <cellStyle name="Hypertextový odkaz" xfId="760" builtinId="8" hidden="1"/>
    <cellStyle name="Hypertextový odkaz" xfId="762" builtinId="8" hidden="1"/>
    <cellStyle name="Hypertextový odkaz" xfId="764" builtinId="8" hidden="1"/>
    <cellStyle name="Hypertextový odkaz" xfId="766" builtinId="8" hidden="1"/>
    <cellStyle name="Hypertextový odkaz" xfId="768" builtinId="8" hidden="1"/>
    <cellStyle name="Hypertextový odkaz" xfId="770" builtinId="8" hidden="1"/>
    <cellStyle name="Hypertextový odkaz" xfId="772" builtinId="8" hidden="1"/>
    <cellStyle name="Hypertextový odkaz" xfId="774" builtinId="8" hidden="1"/>
    <cellStyle name="Hypertextový odkaz" xfId="776" builtinId="8" hidden="1"/>
    <cellStyle name="Hypertextový odkaz" xfId="778" builtinId="8" hidden="1"/>
    <cellStyle name="Hypertextový odkaz" xfId="780" builtinId="8" hidden="1"/>
    <cellStyle name="Hypertextový odkaz" xfId="782" builtinId="8" hidden="1"/>
    <cellStyle name="Hypertextový odkaz" xfId="784" builtinId="8" hidden="1"/>
    <cellStyle name="Hypertextový odkaz" xfId="786" builtinId="8" hidden="1"/>
    <cellStyle name="Hypertextový odkaz" xfId="788" builtinId="8" hidden="1"/>
    <cellStyle name="Hypertextový odkaz" xfId="790" builtinId="8" hidden="1"/>
    <cellStyle name="Hypertextový odkaz" xfId="792" builtinId="8" hidden="1"/>
    <cellStyle name="Hypertextový odkaz" xfId="794" builtinId="8" hidden="1"/>
    <cellStyle name="Hypertextový odkaz" xfId="796" builtinId="8" hidden="1"/>
    <cellStyle name="Hypertextový odkaz" xfId="798" builtinId="8" hidden="1"/>
    <cellStyle name="Hypertextový odkaz" xfId="800" builtinId="8" hidden="1"/>
    <cellStyle name="Hypertextový odkaz" xfId="802" builtinId="8" hidden="1"/>
    <cellStyle name="Hypertextový odkaz" xfId="804" builtinId="8" hidden="1"/>
    <cellStyle name="Hypertextový odkaz" xfId="806" builtinId="8" hidden="1"/>
    <cellStyle name="Hypertextový odkaz" xfId="808" builtinId="8" hidden="1"/>
    <cellStyle name="Hypertextový odkaz" xfId="810" builtinId="8" hidden="1"/>
    <cellStyle name="Hypertextový odkaz" xfId="812" builtinId="8" hidden="1"/>
    <cellStyle name="Hypertextový odkaz" xfId="814" builtinId="8" hidden="1"/>
    <cellStyle name="Hypertextový odkaz" xfId="816" builtinId="8" hidden="1"/>
    <cellStyle name="Hypertextový odkaz" xfId="818" builtinId="8" hidden="1"/>
    <cellStyle name="Hypertextový odkaz" xfId="820" builtinId="8" hidden="1"/>
    <cellStyle name="Hypertextový odkaz" xfId="822" builtinId="8" hidden="1"/>
    <cellStyle name="Hypertextový odkaz" xfId="824" builtinId="8" hidden="1"/>
    <cellStyle name="Hypertextový odkaz" xfId="826" builtinId="8" hidden="1"/>
    <cellStyle name="Hypertextový odkaz" xfId="828" builtinId="8" hidden="1"/>
    <cellStyle name="Hypertextový odkaz" xfId="830" builtinId="8" hidden="1"/>
    <cellStyle name="Hypertextový odkaz" xfId="832" builtinId="8" hidden="1"/>
    <cellStyle name="Hypertextový odkaz" xfId="834" builtinId="8" hidden="1"/>
    <cellStyle name="Hypertextový odkaz" xfId="836" builtinId="8" hidden="1"/>
    <cellStyle name="Hypertextový odkaz" xfId="838" builtinId="8" hidden="1"/>
    <cellStyle name="Hypertextový odkaz" xfId="840" builtinId="8" hidden="1"/>
    <cellStyle name="Hypertextový odkaz" xfId="842" builtinId="8" hidden="1"/>
    <cellStyle name="Hypertextový odkaz" xfId="844" builtinId="8" hidden="1"/>
    <cellStyle name="Hypertextový odkaz" xfId="846" builtinId="8" hidden="1"/>
    <cellStyle name="Hypertextový odkaz" xfId="848" builtinId="8" hidden="1"/>
    <cellStyle name="Hypertextový odkaz" xfId="850" builtinId="8" hidden="1"/>
    <cellStyle name="Hypertextový odkaz" xfId="852" builtinId="8" hidden="1"/>
    <cellStyle name="Hypertextový odkaz" xfId="854" builtinId="8" hidden="1"/>
    <cellStyle name="Hypertextový odkaz" xfId="856" builtinId="8" hidden="1"/>
    <cellStyle name="Hypertextový odkaz" xfId="858" builtinId="8" hidden="1"/>
    <cellStyle name="Hypertextový odkaz" xfId="860" builtinId="8" hidden="1"/>
    <cellStyle name="Hypertextový odkaz" xfId="862" builtinId="8" hidden="1"/>
    <cellStyle name="Hypertextový odkaz" xfId="864" builtinId="8" hidden="1"/>
    <cellStyle name="Hypertextový odkaz" xfId="866" builtinId="8" hidden="1"/>
    <cellStyle name="Hypertextový odkaz" xfId="868" builtinId="8" hidden="1"/>
    <cellStyle name="Hypertextový odkaz" xfId="870" builtinId="8" hidden="1"/>
    <cellStyle name="Hypertextový odkaz" xfId="872" builtinId="8" hidden="1"/>
    <cellStyle name="Hypertextový odkaz" xfId="874" builtinId="8" hidden="1"/>
    <cellStyle name="Hypertextový odkaz" xfId="876" builtinId="8" hidden="1"/>
    <cellStyle name="Hypertextový odkaz" xfId="878" builtinId="8" hidden="1"/>
    <cellStyle name="Hypertextový odkaz" xfId="880" builtinId="8" hidden="1"/>
    <cellStyle name="Hypertextový odkaz" xfId="882" builtinId="8" hidden="1"/>
    <cellStyle name="Hypertextový odkaz" xfId="884" builtinId="8" hidden="1"/>
    <cellStyle name="Hypertextový odkaz" xfId="886" builtinId="8" hidden="1"/>
    <cellStyle name="Hypertextový odkaz" xfId="888" builtinId="8" hidden="1"/>
    <cellStyle name="Hypertextový odkaz" xfId="890" builtinId="8" hidden="1"/>
    <cellStyle name="Hypertextový odkaz" xfId="892" builtinId="8" hidden="1"/>
    <cellStyle name="Hypertextový odkaz" xfId="894" builtinId="8" hidden="1"/>
    <cellStyle name="Hypertextový odkaz" xfId="896" builtinId="8" hidden="1"/>
    <cellStyle name="Hypertextový odkaz" xfId="898" builtinId="8" hidden="1"/>
    <cellStyle name="Hypertextový odkaz" xfId="900" builtinId="8" hidden="1"/>
    <cellStyle name="Hypertextový odkaz" xfId="902" builtinId="8" hidden="1"/>
    <cellStyle name="Hypertextový odkaz" xfId="904" builtinId="8" hidden="1"/>
    <cellStyle name="Hypertextový odkaz" xfId="906" builtinId="8" hidden="1"/>
    <cellStyle name="Hypertextový odkaz" xfId="908" builtinId="8" hidden="1"/>
    <cellStyle name="Hypertextový odkaz" xfId="910" builtinId="8" hidden="1"/>
    <cellStyle name="Hypertextový odkaz" xfId="912" builtinId="8" hidden="1"/>
    <cellStyle name="Hypertextový odkaz" xfId="914" builtinId="8" hidden="1"/>
    <cellStyle name="Hypertextový odkaz" xfId="916" builtinId="8" hidden="1"/>
    <cellStyle name="Hypertextový odkaz" xfId="918" builtinId="8" hidden="1"/>
    <cellStyle name="Hypertextový odkaz" xfId="920" builtinId="8" hidden="1"/>
    <cellStyle name="Hypertextový odkaz" xfId="922" builtinId="8" hidden="1"/>
    <cellStyle name="Hypertextový odkaz" xfId="924" builtinId="8" hidden="1"/>
    <cellStyle name="Hypertextový odkaz" xfId="926" builtinId="8" hidden="1"/>
    <cellStyle name="Hypertextový odkaz" xfId="928" builtinId="8" hidden="1"/>
    <cellStyle name="Hypertextový odkaz" xfId="930" builtinId="8" hidden="1"/>
    <cellStyle name="Hypertextový odkaz" xfId="932" builtinId="8" hidden="1"/>
    <cellStyle name="Hypertextový odkaz" xfId="934" builtinId="8" hidden="1"/>
    <cellStyle name="Hypertextový odkaz" xfId="936" builtinId="8" hidden="1"/>
    <cellStyle name="Hypertextový odkaz" xfId="938" builtinId="8" hidden="1"/>
    <cellStyle name="Hypertextový odkaz" xfId="940" builtinId="8" hidden="1"/>
    <cellStyle name="Hypertextový odkaz" xfId="942" builtinId="8" hidden="1"/>
    <cellStyle name="Hypertextový odkaz" xfId="944" builtinId="8" hidden="1"/>
    <cellStyle name="Hypertextový odkaz" xfId="946" builtinId="8" hidden="1"/>
    <cellStyle name="Hypertextový odkaz" xfId="948" builtinId="8" hidden="1"/>
    <cellStyle name="Hypertextový odkaz" xfId="950" builtinId="8" hidden="1"/>
    <cellStyle name="Hypertextový odkaz" xfId="952" builtinId="8" hidden="1"/>
    <cellStyle name="Hypertextový odkaz" xfId="954" builtinId="8" hidden="1"/>
    <cellStyle name="Hypertextový odkaz" xfId="956" builtinId="8" hidden="1"/>
    <cellStyle name="Hypertextový odkaz" xfId="958" builtinId="8" hidden="1"/>
    <cellStyle name="Hypertextový odkaz" xfId="960" builtinId="8" hidden="1"/>
    <cellStyle name="Hypertextový odkaz" xfId="962" builtinId="8" hidden="1"/>
    <cellStyle name="Hypertextový odkaz" xfId="964" builtinId="8" hidden="1"/>
    <cellStyle name="Hypertextový odkaz" xfId="966" builtinId="8" hidden="1"/>
    <cellStyle name="Hypertextový odkaz" xfId="968" builtinId="8" hidden="1"/>
    <cellStyle name="Hypertextový odkaz" xfId="970" builtinId="8" hidden="1"/>
    <cellStyle name="Hypertextový odkaz" xfId="972" builtinId="8" hidden="1"/>
    <cellStyle name="Hypertextový odkaz" xfId="974" builtinId="8" hidden="1"/>
    <cellStyle name="Hypertextový odkaz" xfId="976" builtinId="8" hidden="1"/>
    <cellStyle name="Hypertextový odkaz" xfId="978" builtinId="8" hidden="1"/>
    <cellStyle name="Hypertextový odkaz" xfId="980" builtinId="8" hidden="1"/>
    <cellStyle name="Hypertextový odkaz" xfId="982" builtinId="8" hidden="1"/>
    <cellStyle name="Hypertextový odkaz" xfId="984" builtinId="8" hidden="1"/>
    <cellStyle name="Hypertextový odkaz" xfId="986" builtinId="8" hidden="1"/>
    <cellStyle name="Hypertextový odkaz" xfId="988" builtinId="8" hidden="1"/>
    <cellStyle name="Hypertextový odkaz" xfId="990" builtinId="8" hidden="1"/>
    <cellStyle name="Hypertextový odkaz" xfId="992" builtinId="8" hidden="1"/>
    <cellStyle name="Hypertextový odkaz" xfId="994" builtinId="8" hidden="1"/>
    <cellStyle name="Hypertextový odkaz" xfId="996" builtinId="8" hidden="1"/>
    <cellStyle name="Hypertextový odkaz" xfId="998" builtinId="8" hidden="1"/>
    <cellStyle name="Hypertextový odkaz" xfId="1000" builtinId="8" hidden="1"/>
    <cellStyle name="Hypertextový odkaz" xfId="1002" builtinId="8" hidden="1"/>
    <cellStyle name="Hypertextový odkaz" xfId="1004" builtinId="8" hidden="1"/>
    <cellStyle name="Hypertextový odkaz" xfId="1006" builtinId="8" hidden="1"/>
    <cellStyle name="Hypertextový odkaz" xfId="1008" builtinId="8" hidden="1"/>
    <cellStyle name="Hypertextový odkaz" xfId="1010" builtinId="8" hidden="1"/>
    <cellStyle name="Hypertextový odkaz" xfId="1012" builtinId="8" hidden="1"/>
    <cellStyle name="Hypertextový odkaz" xfId="1014" builtinId="8" hidden="1"/>
    <cellStyle name="Hypertextový odkaz" xfId="1016" builtinId="8" hidden="1"/>
    <cellStyle name="Hypertextový odkaz" xfId="1018" builtinId="8" hidden="1"/>
    <cellStyle name="Hypertextový odkaz" xfId="1020" builtinId="8" hidden="1"/>
    <cellStyle name="Hypertextový odkaz" xfId="1022" builtinId="8" hidden="1"/>
    <cellStyle name="Hypertextový odkaz" xfId="1024" builtinId="8" hidden="1"/>
    <cellStyle name="Hypertextový odkaz" xfId="1026" builtinId="8" hidden="1"/>
    <cellStyle name="Hypertextový odkaz" xfId="1028" builtinId="8" hidden="1"/>
    <cellStyle name="Hypertextový odkaz" xfId="1030" builtinId="8" hidden="1"/>
    <cellStyle name="Hypertextový odkaz" xfId="1032" builtinId="8" hidden="1"/>
    <cellStyle name="Hypertextový odkaz" xfId="1034" builtinId="8" hidden="1"/>
    <cellStyle name="Hypertextový odkaz" xfId="1036" builtinId="8" hidden="1"/>
    <cellStyle name="Hypertextový odkaz" xfId="1038" builtinId="8" hidden="1"/>
    <cellStyle name="Hypertextový odkaz" xfId="1040" builtinId="8" hidden="1"/>
    <cellStyle name="Hypertextový odkaz" xfId="1042" builtinId="8" hidden="1"/>
    <cellStyle name="Hypertextový odkaz" xfId="1044" builtinId="8" hidden="1"/>
    <cellStyle name="Hypertextový odkaz" xfId="1046" builtinId="8" hidden="1"/>
    <cellStyle name="Hypertextový odkaz" xfId="1048" builtinId="8" hidden="1"/>
    <cellStyle name="Hypertextový odkaz" xfId="1050" builtinId="8" hidden="1"/>
    <cellStyle name="Hypertextový odkaz" xfId="1052" builtinId="8" hidden="1"/>
    <cellStyle name="Hypertextový odkaz" xfId="1054" builtinId="8" hidden="1"/>
    <cellStyle name="Hypertextový odkaz" xfId="1056" builtinId="8" hidden="1"/>
    <cellStyle name="Hypertextový odkaz" xfId="1058" builtinId="8" hidden="1"/>
    <cellStyle name="Hypertextový odkaz" xfId="1060" builtinId="8" hidden="1"/>
    <cellStyle name="Hypertextový odkaz" xfId="1062" builtinId="8" hidden="1"/>
    <cellStyle name="Hypertextový odkaz" xfId="1064" builtinId="8" hidden="1"/>
    <cellStyle name="Hypertextový odkaz" xfId="1066" builtinId="8" hidden="1"/>
    <cellStyle name="Hypertextový odkaz" xfId="1068" builtinId="8" hidden="1"/>
    <cellStyle name="Hypertextový odkaz" xfId="1070" builtinId="8" hidden="1"/>
    <cellStyle name="Hypertextový odkaz" xfId="1072" builtinId="8" hidden="1"/>
    <cellStyle name="Hypertextový odkaz" xfId="1074" builtinId="8" hidden="1"/>
    <cellStyle name="Hypertextový odkaz" xfId="1076" builtinId="8" hidden="1"/>
    <cellStyle name="Hypertextový odkaz" xfId="1078" builtinId="8" hidden="1"/>
    <cellStyle name="Hypertextový odkaz" xfId="1080" builtinId="8" hidden="1"/>
    <cellStyle name="Hypertextový odkaz" xfId="1082" builtinId="8" hidden="1"/>
    <cellStyle name="Hypertextový odkaz" xfId="1084" builtinId="8" hidden="1"/>
    <cellStyle name="Hypertextový odkaz" xfId="1086" builtinId="8" hidden="1"/>
    <cellStyle name="Hypertextový odkaz" xfId="1088" builtinId="8" hidden="1"/>
    <cellStyle name="Hypertextový odkaz" xfId="1090" builtinId="8" hidden="1"/>
    <cellStyle name="Hypertextový odkaz" xfId="1092" builtinId="8" hidden="1"/>
    <cellStyle name="Hypertextový odkaz" xfId="1094" builtinId="8" hidden="1"/>
    <cellStyle name="Hypertextový odkaz" xfId="1096" builtinId="8" hidden="1"/>
    <cellStyle name="Hypertextový odkaz" xfId="1098" builtinId="8" hidden="1"/>
    <cellStyle name="Hypertextový odkaz" xfId="1100" builtinId="8" hidden="1"/>
    <cellStyle name="Hypertextový odkaz" xfId="1102" builtinId="8" hidden="1"/>
    <cellStyle name="Hypertextový odkaz" xfId="1104" builtinId="8" hidden="1"/>
    <cellStyle name="Hypertextový odkaz" xfId="1106" builtinId="8" hidden="1"/>
    <cellStyle name="Hypertextový odkaz" xfId="1108" builtinId="8" hidden="1"/>
    <cellStyle name="Hypertextový odkaz" xfId="1110" builtinId="8" hidden="1"/>
    <cellStyle name="Hypertextový odkaz" xfId="1112" builtinId="8" hidden="1"/>
    <cellStyle name="Hypertextový odkaz" xfId="1114" builtinId="8" hidden="1"/>
    <cellStyle name="Hypertextový odkaz" xfId="1116" builtinId="8" hidden="1"/>
    <cellStyle name="Hypertextový odkaz" xfId="1118" builtinId="8" hidden="1"/>
    <cellStyle name="Hypertextový odkaz" xfId="1120" builtinId="8" hidden="1"/>
    <cellStyle name="Hypertextový odkaz" xfId="1122" builtinId="8" hidden="1"/>
    <cellStyle name="Hypertextový odkaz" xfId="1124" builtinId="8" hidden="1"/>
    <cellStyle name="Hypertextový odkaz" xfId="1126" builtinId="8" hidden="1"/>
    <cellStyle name="Hypertextový odkaz" xfId="1128" builtinId="8" hidden="1"/>
    <cellStyle name="Hypertextový odkaz" xfId="1130" builtinId="8" hidden="1"/>
    <cellStyle name="Hypertextový odkaz" xfId="1132" builtinId="8" hidden="1"/>
    <cellStyle name="Hypertextový odkaz" xfId="1134" builtinId="8" hidden="1"/>
    <cellStyle name="Hypertextový odkaz" xfId="1136" builtinId="8" hidden="1"/>
    <cellStyle name="Hypertextový odkaz" xfId="1138" builtinId="8" hidden="1"/>
    <cellStyle name="Hypertextový odkaz" xfId="1140" builtinId="8" hidden="1"/>
    <cellStyle name="Hypertextový odkaz" xfId="1142" builtinId="8" hidden="1"/>
    <cellStyle name="Hypertextový odkaz" xfId="1144" builtinId="8" hidden="1"/>
    <cellStyle name="Hypertextový odkaz" xfId="1146" builtinId="8" hidden="1"/>
    <cellStyle name="Hypertextový odkaz" xfId="1148" builtinId="8" hidden="1"/>
    <cellStyle name="Hypertextový odkaz" xfId="1150" builtinId="8" hidden="1"/>
    <cellStyle name="Hypertextový odkaz" xfId="1152" builtinId="8" hidden="1"/>
    <cellStyle name="Hypertextový odkaz" xfId="1154" builtinId="8" hidden="1"/>
    <cellStyle name="Hypertextový odkaz" xfId="1156" builtinId="8" hidden="1"/>
    <cellStyle name="Hypertextový odkaz" xfId="1158" builtinId="8" hidden="1"/>
    <cellStyle name="Hypertextový odkaz" xfId="1160" builtinId="8" hidden="1"/>
    <cellStyle name="Hypertextový odkaz" xfId="1162" builtinId="8" hidden="1"/>
    <cellStyle name="Hypertextový odkaz" xfId="1164" builtinId="8" hidden="1"/>
    <cellStyle name="Hypertextový odkaz" xfId="1166" builtinId="8" hidden="1"/>
    <cellStyle name="Hypertextový odkaz" xfId="1168" builtinId="8" hidden="1"/>
    <cellStyle name="Hypertextový odkaz" xfId="1170" builtinId="8" hidden="1"/>
    <cellStyle name="Hypertextový odkaz" xfId="1172" builtinId="8" hidden="1"/>
    <cellStyle name="Hypertextový odkaz" xfId="1174" builtinId="8" hidden="1"/>
    <cellStyle name="Hypertextový odkaz" xfId="1176" builtinId="8" hidden="1"/>
    <cellStyle name="Hypertextový odkaz" xfId="1178" builtinId="8" hidden="1"/>
    <cellStyle name="Hypertextový odkaz" xfId="1180" builtinId="8" hidden="1"/>
    <cellStyle name="Hypertextový odkaz" xfId="1182" builtinId="8" hidden="1"/>
    <cellStyle name="Hypertextový odkaz" xfId="1184" builtinId="8" hidden="1"/>
    <cellStyle name="Hypertextový odkaz" xfId="1186" builtinId="8" hidden="1"/>
    <cellStyle name="Hypertextový odkaz" xfId="1188" builtinId="8" hidden="1"/>
    <cellStyle name="Hypertextový odkaz" xfId="1190" builtinId="8" hidden="1"/>
    <cellStyle name="Hypertextový odkaz" xfId="1192" builtinId="8" hidden="1"/>
    <cellStyle name="Hypertextový odkaz" xfId="1194" builtinId="8" hidden="1"/>
    <cellStyle name="Hypertextový odkaz" xfId="1196" builtinId="8" hidden="1"/>
    <cellStyle name="Hypertextový odkaz" xfId="1198" builtinId="8" hidden="1"/>
    <cellStyle name="Hypertextový odkaz" xfId="1200" builtinId="8" hidden="1"/>
    <cellStyle name="Hypertextový odkaz" xfId="1202" builtinId="8" hidden="1"/>
    <cellStyle name="Hypertextový odkaz" xfId="1204" builtinId="8" hidden="1"/>
    <cellStyle name="Hypertextový odkaz" xfId="1206" builtinId="8" hidden="1"/>
    <cellStyle name="Hypertextový odkaz" xfId="1208" builtinId="8" hidden="1"/>
    <cellStyle name="Hypertextový odkaz" xfId="1210" builtinId="8" hidden="1"/>
    <cellStyle name="Hypertextový odkaz" xfId="1212" builtinId="8" hidden="1"/>
    <cellStyle name="Hypertextový odkaz" xfId="1214" builtinId="8" hidden="1"/>
    <cellStyle name="Hypertextový odkaz" xfId="1216" builtinId="8" hidden="1"/>
    <cellStyle name="Hypertextový odkaz" xfId="1218" builtinId="8" hidden="1"/>
    <cellStyle name="Hypertextový odkaz" xfId="1220" builtinId="8" hidden="1"/>
    <cellStyle name="Hypertextový odkaz" xfId="1222" builtinId="8" hidden="1"/>
    <cellStyle name="Hypertextový odkaz" xfId="1224" builtinId="8" hidden="1"/>
    <cellStyle name="Hypertextový odkaz" xfId="1226" builtinId="8" hidden="1"/>
    <cellStyle name="Hypertextový odkaz" xfId="1228" builtinId="8" hidden="1"/>
    <cellStyle name="Hypertextový odkaz" xfId="1230" builtinId="8" hidden="1"/>
    <cellStyle name="Hypertextový odkaz" xfId="1232" builtinId="8" hidden="1"/>
    <cellStyle name="Hypertextový odkaz" xfId="1234" builtinId="8" hidden="1"/>
    <cellStyle name="Hypertextový odkaz" xfId="1236" builtinId="8" hidden="1"/>
    <cellStyle name="Hypertextový odkaz" xfId="1238" builtinId="8" hidden="1"/>
    <cellStyle name="Hypertextový odkaz" xfId="1240" builtinId="8" hidden="1"/>
    <cellStyle name="Hypertextový odkaz" xfId="1242" builtinId="8" hidden="1"/>
    <cellStyle name="Hypertextový odkaz" xfId="1244" builtinId="8" hidden="1"/>
    <cellStyle name="Hypertextový odkaz" xfId="1246" builtinId="8" hidden="1"/>
    <cellStyle name="Hypertextový odkaz" xfId="1248" builtinId="8" hidden="1"/>
    <cellStyle name="Hypertextový odkaz" xfId="1250" builtinId="8" hidden="1"/>
    <cellStyle name="Hypertextový odkaz" xfId="1252" builtinId="8" hidden="1"/>
    <cellStyle name="Hypertextový odkaz" xfId="1254" builtinId="8" hidden="1"/>
    <cellStyle name="Hypertextový odkaz" xfId="1256" builtinId="8" hidden="1"/>
    <cellStyle name="Hypertextový odkaz" xfId="1258" builtinId="8" hidden="1"/>
    <cellStyle name="Hypertextový odkaz" xfId="1260" builtinId="8" hidden="1"/>
    <cellStyle name="Hypertextový odkaz" xfId="1262" builtinId="8" hidden="1"/>
    <cellStyle name="Hypertextový odkaz" xfId="1264" builtinId="8" hidden="1"/>
    <cellStyle name="Hypertextový odkaz" xfId="1266" builtinId="8" hidden="1"/>
    <cellStyle name="Hypertextový odkaz" xfId="1268" builtinId="8" hidden="1"/>
    <cellStyle name="Hypertextový odkaz" xfId="1270" builtinId="8" hidden="1"/>
    <cellStyle name="Hypertextový odkaz" xfId="1272" builtinId="8" hidden="1"/>
    <cellStyle name="Hypertextový odkaz" xfId="1274" builtinId="8" hidden="1"/>
    <cellStyle name="Hypertextový odkaz" xfId="1276" builtinId="8" hidden="1"/>
    <cellStyle name="Hypertextový odkaz" xfId="1278" builtinId="8" hidden="1"/>
    <cellStyle name="Hypertextový odkaz" xfId="1280" builtinId="8" hidden="1"/>
    <cellStyle name="Hypertextový odkaz" xfId="1282" builtinId="8" hidden="1"/>
    <cellStyle name="Hypertextový odkaz" xfId="1285" builtinId="8" hidden="1"/>
    <cellStyle name="Hypertextový odkaz" xfId="1287" builtinId="8" hidden="1"/>
    <cellStyle name="Hypertextový odkaz" xfId="1289" builtinId="8" hidden="1"/>
    <cellStyle name="Hypertextový odkaz" xfId="1291" builtinId="8" hidden="1"/>
    <cellStyle name="Hypertextový odkaz" xfId="1293" builtinId="8" hidden="1"/>
    <cellStyle name="Hypertextový odkaz" xfId="1295" builtinId="8" hidden="1"/>
    <cellStyle name="Hypertextový odkaz" xfId="1297" builtinId="8" hidden="1"/>
    <cellStyle name="Hypertextový odkaz" xfId="1299" builtinId="8" hidden="1"/>
    <cellStyle name="Hypertextový odkaz" xfId="1301" builtinId="8" hidden="1"/>
    <cellStyle name="Hypertextový odkaz" xfId="1303" builtinId="8" hidden="1"/>
    <cellStyle name="Hypertextový odkaz" xfId="1305" builtinId="8" hidden="1"/>
    <cellStyle name="Hypertextový odkaz" xfId="1307" builtinId="8" hidden="1"/>
    <cellStyle name="Hypertextový odkaz" xfId="1309" builtinId="8" hidden="1"/>
    <cellStyle name="Hypertextový odkaz" xfId="1311" builtinId="8" hidden="1"/>
    <cellStyle name="Hypertextový odkaz" xfId="1313" builtinId="8" hidden="1"/>
    <cellStyle name="Hypertextový odkaz" xfId="1315" builtinId="8" hidden="1"/>
    <cellStyle name="Hypertextový odkaz" xfId="1317" builtinId="8" hidden="1"/>
    <cellStyle name="Hypertextový odkaz" xfId="1319" builtinId="8" hidden="1"/>
    <cellStyle name="Hypertextový odkaz" xfId="1321" builtinId="8" hidden="1"/>
    <cellStyle name="Hypertextový odkaz" xfId="1323" builtinId="8" hidden="1"/>
    <cellStyle name="Hypertextový odkaz" xfId="1325" builtinId="8" hidden="1"/>
    <cellStyle name="Hypertextový odkaz" xfId="1327" builtinId="8" hidden="1"/>
    <cellStyle name="Hypertextový odkaz" xfId="1329" builtinId="8" hidden="1"/>
    <cellStyle name="Hypertextový odkaz" xfId="1331" builtinId="8" hidden="1"/>
    <cellStyle name="Hypertextový odkaz" xfId="1333" builtinId="8" hidden="1"/>
    <cellStyle name="Hypertextový odkaz" xfId="1335" builtinId="8" hidden="1"/>
    <cellStyle name="Hypertextový odkaz" xfId="1337" builtinId="8" hidden="1"/>
    <cellStyle name="Hypertextový odkaz" xfId="1339" builtinId="8" hidden="1"/>
    <cellStyle name="Hypertextový odkaz" xfId="1341" builtinId="8" hidden="1"/>
    <cellStyle name="Hypertextový odkaz" xfId="1343" builtinId="8" hidden="1"/>
    <cellStyle name="Hypertextový odkaz" xfId="1345" builtinId="8" hidden="1"/>
    <cellStyle name="Hypertextový odkaz" xfId="1347" builtinId="8" hidden="1"/>
    <cellStyle name="Hypertextový odkaz" xfId="1349" builtinId="8" hidden="1"/>
    <cellStyle name="Hypertextový odkaz" xfId="1351" builtinId="8" hidden="1"/>
    <cellStyle name="Hypertextový odkaz" xfId="1353" builtinId="8" hidden="1"/>
    <cellStyle name="Hypertextový odkaz" xfId="1355" builtinId="8" hidden="1"/>
    <cellStyle name="Hypertextový odkaz" xfId="1357" builtinId="8" hidden="1"/>
    <cellStyle name="Hypertextový odkaz" xfId="1359" builtinId="8" hidden="1"/>
    <cellStyle name="Hypertextový odkaz" xfId="1361" builtinId="8" hidden="1"/>
    <cellStyle name="Hypertextový odkaz" xfId="1363" builtinId="8" hidden="1"/>
    <cellStyle name="Hypertextový odkaz" xfId="1365" builtinId="8" hidden="1"/>
    <cellStyle name="Hypertextový odkaz" xfId="1367" builtinId="8" hidden="1"/>
    <cellStyle name="Hypertextový odkaz" xfId="1369" builtinId="8" hidden="1"/>
    <cellStyle name="Hypertextový odkaz" xfId="1371" builtinId="8" hidden="1"/>
    <cellStyle name="Hypertextový odkaz" xfId="1373" builtinId="8" hidden="1"/>
    <cellStyle name="Hypertextový odkaz" xfId="1375" builtinId="8" hidden="1"/>
    <cellStyle name="Hypertextový odkaz" xfId="1377" builtinId="8" hidden="1"/>
    <cellStyle name="Hypertextový odkaz" xfId="1379" builtinId="8" hidden="1"/>
    <cellStyle name="Hypertextový odkaz" xfId="1381" builtinId="8" hidden="1"/>
    <cellStyle name="Hypertextový odkaz" xfId="1383" builtinId="8" hidden="1"/>
    <cellStyle name="Hypertextový odkaz" xfId="1385" builtinId="8" hidden="1"/>
    <cellStyle name="Hypertextový odkaz" xfId="1387" builtinId="8" hidden="1"/>
    <cellStyle name="Hypertextový odkaz" xfId="1389" builtinId="8" hidden="1"/>
    <cellStyle name="Hypertextový odkaz" xfId="1391" builtinId="8" hidden="1"/>
    <cellStyle name="Hypertextový odkaz" xfId="1393" builtinId="8" hidden="1"/>
    <cellStyle name="Hypertextový odkaz" xfId="1395" builtinId="8" hidden="1"/>
    <cellStyle name="Hypertextový odkaz" xfId="1397" builtinId="8" hidden="1"/>
    <cellStyle name="Hypertextový odkaz" xfId="1399" builtinId="8" hidden="1"/>
    <cellStyle name="Hypertextový odkaz" xfId="1401" builtinId="8" hidden="1"/>
    <cellStyle name="Hypertextový odkaz" xfId="1403" builtinId="8" hidden="1"/>
    <cellStyle name="Hypertextový odkaz" xfId="1405" builtinId="8" hidden="1"/>
    <cellStyle name="Hypertextový odkaz" xfId="1407" builtinId="8" hidden="1"/>
    <cellStyle name="Hypertextový odkaz" xfId="1409" builtinId="8" hidden="1"/>
    <cellStyle name="Hypertextový odkaz" xfId="1411" builtinId="8" hidden="1"/>
    <cellStyle name="Hypertextový odkaz" xfId="1413" builtinId="8" hidden="1"/>
    <cellStyle name="Hypertextový odkaz" xfId="1415" builtinId="8" hidden="1"/>
    <cellStyle name="Hypertextový odkaz" xfId="1417" builtinId="8" hidden="1"/>
    <cellStyle name="Hypertextový odkaz" xfId="1419" builtinId="8" hidden="1"/>
    <cellStyle name="Hypertextový odkaz" xfId="1421" builtinId="8" hidden="1"/>
    <cellStyle name="Hypertextový odkaz" xfId="1423" builtinId="8" hidden="1"/>
    <cellStyle name="Hypertextový odkaz" xfId="1425" builtinId="8" hidden="1"/>
    <cellStyle name="Hypertextový odkaz" xfId="1427" builtinId="8" hidden="1"/>
    <cellStyle name="Hypertextový odkaz" xfId="1429" builtinId="8" hidden="1"/>
    <cellStyle name="Hypertextový odkaz" xfId="1431" builtinId="8" hidden="1"/>
    <cellStyle name="Hypertextový odkaz" xfId="1433" builtinId="8" hidden="1"/>
    <cellStyle name="Hypertextový odkaz" xfId="1435" builtinId="8" hidden="1"/>
    <cellStyle name="Hypertextový odkaz" xfId="1437" builtinId="8" hidden="1"/>
    <cellStyle name="Hypertextový odkaz" xfId="1439" builtinId="8" hidden="1"/>
    <cellStyle name="Hypertextový odkaz" xfId="1441" builtinId="8" hidden="1"/>
    <cellStyle name="Hypertextový odkaz" xfId="1443" builtinId="8" hidden="1"/>
    <cellStyle name="Hypertextový odkaz" xfId="1445" builtinId="8" hidden="1"/>
    <cellStyle name="Hypertextový odkaz" xfId="1447" builtinId="8" hidden="1"/>
    <cellStyle name="Hypertextový odkaz" xfId="1449" builtinId="8" hidden="1"/>
    <cellStyle name="Hypertextový odkaz" xfId="1451" builtinId="8" hidden="1"/>
    <cellStyle name="Hypertextový odkaz" xfId="1453" builtinId="8" hidden="1"/>
    <cellStyle name="Hypertextový odkaz" xfId="1455" builtinId="8" hidden="1"/>
    <cellStyle name="Hypertextový odkaz" xfId="1457" builtinId="8" hidden="1"/>
    <cellStyle name="Hypertextový odkaz" xfId="1459" builtinId="8" hidden="1"/>
    <cellStyle name="Hypertextový odkaz" xfId="1461" builtinId="8" hidden="1"/>
    <cellStyle name="Hypertextový odkaz" xfId="1463" builtinId="8" hidden="1"/>
    <cellStyle name="Hypertextový odkaz" xfId="1465" builtinId="8" hidden="1"/>
    <cellStyle name="Hypertextový odkaz" xfId="1467" builtinId="8" hidden="1"/>
    <cellStyle name="Hypertextový odkaz" xfId="1469" builtinId="8" hidden="1"/>
    <cellStyle name="Hypertextový odkaz" xfId="1471" builtinId="8" hidden="1"/>
    <cellStyle name="Hypertextový odkaz" xfId="1473" builtinId="8" hidden="1"/>
    <cellStyle name="Hypertextový odkaz" xfId="1475" builtinId="8" hidden="1"/>
    <cellStyle name="Hypertextový odkaz" xfId="1477" builtinId="8" hidden="1"/>
    <cellStyle name="Hypertextový odkaz" xfId="1479" builtinId="8" hidden="1"/>
    <cellStyle name="Hypertextový odkaz" xfId="1481" builtinId="8" hidden="1"/>
    <cellStyle name="Hypertextový odkaz" xfId="1483" builtinId="8" hidden="1"/>
    <cellStyle name="Hypertextový odkaz" xfId="1485" builtinId="8" hidden="1"/>
    <cellStyle name="Hypertextový odkaz" xfId="1487" builtinId="8" hidden="1"/>
    <cellStyle name="Hypertextový odkaz" xfId="1489" builtinId="8" hidden="1"/>
    <cellStyle name="Hypertextový odkaz" xfId="1491" builtinId="8" hidden="1"/>
    <cellStyle name="Hypertextový odkaz" xfId="1493" builtinId="8" hidden="1"/>
    <cellStyle name="Hypertextový odkaz" xfId="1495" builtinId="8" hidden="1"/>
    <cellStyle name="Hypertextový odkaz" xfId="1497" builtinId="8" hidden="1"/>
    <cellStyle name="Hypertextový odkaz" xfId="1499" builtinId="8" hidden="1"/>
    <cellStyle name="Hypertextový odkaz" xfId="1501" builtinId="8" hidden="1"/>
    <cellStyle name="Hypertextový odkaz" xfId="1503" builtinId="8" hidden="1"/>
    <cellStyle name="Hypertextový odkaz" xfId="1505" builtinId="8" hidden="1"/>
    <cellStyle name="Hypertextový odkaz" xfId="1507" builtinId="8" hidden="1"/>
    <cellStyle name="Hypertextový odkaz" xfId="1509" builtinId="8" hidden="1"/>
    <cellStyle name="Hypertextový odkaz" xfId="1511" builtinId="8" hidden="1"/>
    <cellStyle name="Hypertextový odkaz" xfId="1513" builtinId="8" hidden="1"/>
    <cellStyle name="Hypertextový odkaz" xfId="1515" builtinId="8" hidden="1"/>
    <cellStyle name="Hypertextový odkaz" xfId="1517" builtinId="8" hidden="1"/>
    <cellStyle name="Hypertextový odkaz" xfId="1519" builtinId="8" hidden="1"/>
    <cellStyle name="Hypertextový odkaz" xfId="1521" builtinId="8" hidden="1"/>
    <cellStyle name="Hypertextový odkaz" xfId="1523" builtinId="8" hidden="1"/>
    <cellStyle name="Hypertextový odkaz" xfId="1525" builtinId="8" hidden="1"/>
    <cellStyle name="Hypertextový odkaz" xfId="1527" builtinId="8" hidden="1"/>
    <cellStyle name="Hypertextový odkaz" xfId="1529" builtinId="8" hidden="1"/>
    <cellStyle name="Hypertextový odkaz" xfId="1531" builtinId="8" hidden="1"/>
    <cellStyle name="Hypertextový odkaz" xfId="1533" builtinId="8" hidden="1"/>
    <cellStyle name="Hypertextový odkaz" xfId="1535" builtinId="8" hidden="1"/>
    <cellStyle name="Hypertextový odkaz" xfId="1537" builtinId="8" hidden="1"/>
    <cellStyle name="Hypertextový odkaz" xfId="1539" builtinId="8" hidden="1"/>
    <cellStyle name="Hypertextový odkaz" xfId="1541" builtinId="8" hidden="1"/>
    <cellStyle name="Hypertextový odkaz" xfId="1543" builtinId="8" hidden="1"/>
    <cellStyle name="Hypertextový odkaz" xfId="1545" builtinId="8" hidden="1"/>
    <cellStyle name="Hypertextový odkaz" xfId="1547" builtinId="8" hidden="1"/>
    <cellStyle name="Hypertextový odkaz" xfId="1549" builtinId="8" hidden="1"/>
    <cellStyle name="Hypertextový odkaz" xfId="1551" builtinId="8" hidden="1"/>
    <cellStyle name="Hypertextový odkaz" xfId="1553" builtinId="8" hidden="1"/>
    <cellStyle name="Hypertextový odkaz" xfId="1555" builtinId="8" hidden="1"/>
    <cellStyle name="Hypertextový odkaz" xfId="1557" builtinId="8" hidden="1"/>
    <cellStyle name="Hypertextový odkaz" xfId="1559" builtinId="8" hidden="1"/>
    <cellStyle name="Hypertextový odkaz" xfId="1561" builtinId="8" hidden="1"/>
    <cellStyle name="Hypertextový odkaz" xfId="1563" builtinId="8" hidden="1"/>
    <cellStyle name="Hypertextový odkaz" xfId="1565" builtinId="8" hidden="1"/>
    <cellStyle name="Hypertextový odkaz" xfId="1567" builtinId="8" hidden="1"/>
    <cellStyle name="Hypertextový odkaz" xfId="1569" builtinId="8" hidden="1"/>
    <cellStyle name="Hypertextový odkaz" xfId="1571" builtinId="8" hidden="1"/>
    <cellStyle name="Hypertextový odkaz" xfId="1573" builtinId="8" hidden="1"/>
    <cellStyle name="Hypertextový odkaz" xfId="1575" builtinId="8" hidden="1"/>
    <cellStyle name="Hypertextový odkaz" xfId="1577" builtinId="8" hidden="1"/>
    <cellStyle name="Hypertextový odkaz" xfId="1579" builtinId="8" hidden="1"/>
    <cellStyle name="Hypertextový odkaz" xfId="1581" builtinId="8" hidden="1"/>
    <cellStyle name="Hypertextový odkaz" xfId="1583" builtinId="8" hidden="1"/>
    <cellStyle name="Hypertextový odkaz" xfId="1585" builtinId="8" hidden="1"/>
    <cellStyle name="Hypertextový odkaz" xfId="1587" builtinId="8" hidden="1"/>
    <cellStyle name="Hypertextový odkaz" xfId="1589" builtinId="8" hidden="1"/>
    <cellStyle name="Hypertextový odkaz" xfId="1591" builtinId="8" hidden="1"/>
    <cellStyle name="Hypertextový odkaz" xfId="1593" builtinId="8" hidden="1"/>
    <cellStyle name="Hypertextový odkaz" xfId="1595" builtinId="8" hidden="1"/>
    <cellStyle name="Hypertextový odkaz" xfId="1597" builtinId="8" hidden="1"/>
    <cellStyle name="Hypertextový odkaz" xfId="1599" builtinId="8" hidden="1"/>
    <cellStyle name="Hypertextový odkaz" xfId="1601" builtinId="8" hidden="1"/>
    <cellStyle name="Hypertextový odkaz" xfId="1603" builtinId="8" hidden="1"/>
    <cellStyle name="Hypertextový odkaz" xfId="1605" builtinId="8" hidden="1"/>
    <cellStyle name="Hypertextový odkaz" xfId="1607" builtinId="8" hidden="1"/>
    <cellStyle name="Hypertextový odkaz" xfId="1609" builtinId="8" hidden="1"/>
    <cellStyle name="Hypertextový odkaz" xfId="1611" builtinId="8" hidden="1"/>
    <cellStyle name="Hypertextový odkaz" xfId="1613" builtinId="8" hidden="1"/>
    <cellStyle name="Hypertextový odkaz" xfId="1615" builtinId="8" hidden="1"/>
    <cellStyle name="Hypertextový odkaz" xfId="1617" builtinId="8" hidden="1"/>
    <cellStyle name="Hypertextový odkaz" xfId="1619" builtinId="8" hidden="1"/>
    <cellStyle name="Hypertextový odkaz" xfId="1621" builtinId="8" hidden="1"/>
    <cellStyle name="Hypertextový odkaz" xfId="1623" builtinId="8" hidden="1"/>
    <cellStyle name="Hypertextový odkaz" xfId="1625" builtinId="8" hidden="1"/>
    <cellStyle name="Hypertextový odkaz" xfId="1627" builtinId="8" hidden="1"/>
    <cellStyle name="Hypertextový odkaz" xfId="1629" builtinId="8" hidden="1"/>
    <cellStyle name="Hypertextový odkaz" xfId="1631" builtinId="8" hidden="1"/>
    <cellStyle name="Hypertextový odkaz" xfId="1633" builtinId="8" hidden="1"/>
    <cellStyle name="Hypertextový odkaz" xfId="1635" builtinId="8" hidden="1"/>
    <cellStyle name="Hypertextový odkaz" xfId="1637" builtinId="8" hidden="1"/>
    <cellStyle name="Hypertextový odkaz" xfId="1639" builtinId="8" hidden="1"/>
    <cellStyle name="Hypertextový odkaz" xfId="1641" builtinId="8" hidden="1"/>
    <cellStyle name="Hypertextový odkaz" xfId="1643" builtinId="8" hidden="1"/>
    <cellStyle name="Hypertextový odkaz" xfId="1645" builtinId="8" hidden="1"/>
    <cellStyle name="Hypertextový odkaz" xfId="1647" builtinId="8" hidden="1"/>
    <cellStyle name="Hypertextový odkaz" xfId="1649" builtinId="8" hidden="1"/>
    <cellStyle name="Hypertextový odkaz" xfId="1651" builtinId="8" hidden="1"/>
    <cellStyle name="Hypertextový odkaz" xfId="1653" builtinId="8" hidden="1"/>
    <cellStyle name="Hypertextový odkaz" xfId="1655" builtinId="8" hidden="1"/>
    <cellStyle name="Hypertextový odkaz" xfId="1657" builtinId="8" hidden="1"/>
    <cellStyle name="Hypertextový odkaz" xfId="1659" builtinId="8" hidden="1"/>
    <cellStyle name="Hypertextový odkaz" xfId="1661" builtinId="8" hidden="1"/>
    <cellStyle name="Hypertextový odkaz" xfId="1663" builtinId="8" hidden="1"/>
    <cellStyle name="Hypertextový odkaz" xfId="1665" builtinId="8" hidden="1"/>
    <cellStyle name="Hypertextový odkaz" xfId="1667" builtinId="8" hidden="1"/>
    <cellStyle name="Hypertextový odkaz" xfId="1669" builtinId="8" hidden="1"/>
    <cellStyle name="Hypertextový odkaz" xfId="1671" builtinId="8" hidden="1"/>
    <cellStyle name="Hypertextový odkaz" xfId="1673" builtinId="8" hidden="1"/>
    <cellStyle name="Hypertextový odkaz" xfId="1675" builtinId="8" hidden="1"/>
    <cellStyle name="Hypertextový odkaz" xfId="1677" builtinId="8" hidden="1"/>
    <cellStyle name="Hypertextový odkaz" xfId="1679" builtinId="8" hidden="1"/>
    <cellStyle name="Hypertextový odkaz" xfId="1681" builtinId="8" hidden="1"/>
    <cellStyle name="Hypertextový odkaz" xfId="1683" builtinId="8" hidden="1"/>
    <cellStyle name="Hypertextový odkaz" xfId="1685" builtinId="8" hidden="1"/>
    <cellStyle name="Hypertextový odkaz" xfId="1687" builtinId="8" hidden="1"/>
    <cellStyle name="Hypertextový odkaz" xfId="1689" builtinId="8" hidden="1"/>
    <cellStyle name="Hypertextový odkaz" xfId="1691" builtinId="8" hidden="1"/>
    <cellStyle name="Hypertextový odkaz" xfId="1693" builtinId="8" hidden="1"/>
    <cellStyle name="Hypertextový odkaz" xfId="1695" builtinId="8" hidden="1"/>
    <cellStyle name="Hypertextový odkaz" xfId="1697" builtinId="8" hidden="1"/>
    <cellStyle name="Hypertextový odkaz" xfId="1699" builtinId="8" hidden="1"/>
    <cellStyle name="Hypertextový odkaz" xfId="1701" builtinId="8" hidden="1"/>
    <cellStyle name="Hypertextový odkaz" xfId="1703" builtinId="8" hidden="1"/>
    <cellStyle name="Hypertextový odkaz" xfId="1705" builtinId="8" hidden="1"/>
    <cellStyle name="Hypertextový odkaz" xfId="1707" builtinId="8" hidden="1"/>
    <cellStyle name="Hypertextový odkaz" xfId="1709" builtinId="8" hidden="1"/>
    <cellStyle name="Hypertextový odkaz" xfId="1711" builtinId="8" hidden="1"/>
    <cellStyle name="Hypertextový odkaz" xfId="1713" builtinId="8" hidden="1"/>
    <cellStyle name="Hypertextový odkaz" xfId="1715" builtinId="8" hidden="1"/>
    <cellStyle name="Hypertextový odkaz" xfId="1717" builtinId="8" hidden="1"/>
    <cellStyle name="Hypertextový odkaz" xfId="1719" builtinId="8" hidden="1"/>
    <cellStyle name="Hypertextový odkaz" xfId="1721" builtinId="8" hidden="1"/>
    <cellStyle name="Hypertextový odkaz" xfId="1723" builtinId="8" hidden="1"/>
    <cellStyle name="Hypertextový odkaz" xfId="1725" builtinId="8" hidden="1"/>
    <cellStyle name="Hypertextový odkaz" xfId="1727" builtinId="8" hidden="1"/>
    <cellStyle name="Hypertextový odkaz" xfId="1729" builtinId="8" hidden="1"/>
    <cellStyle name="Hypertextový odkaz" xfId="1731" builtinId="8" hidden="1"/>
    <cellStyle name="Hypertextový odkaz" xfId="1733" builtinId="8" hidden="1"/>
    <cellStyle name="Hypertextový odkaz" xfId="1735" builtinId="8" hidden="1"/>
    <cellStyle name="Hypertextový odkaz" xfId="1737" builtinId="8" hidden="1"/>
    <cellStyle name="Hypertextový odkaz" xfId="1739" builtinId="8" hidden="1"/>
    <cellStyle name="Hypertextový odkaz" xfId="1741" builtinId="8" hidden="1"/>
    <cellStyle name="Hypertextový odkaz" xfId="1743" builtinId="8" hidden="1"/>
    <cellStyle name="Hypertextový odkaz" xfId="1745" builtinId="8" hidden="1"/>
    <cellStyle name="Hypertextový odkaz" xfId="1747" builtinId="8" hidden="1"/>
    <cellStyle name="Hypertextový odkaz" xfId="1749" builtinId="8" hidden="1"/>
    <cellStyle name="Hypertextový odkaz" xfId="1751" builtinId="8" hidden="1"/>
    <cellStyle name="Hypertextový odkaz" xfId="1753" builtinId="8" hidden="1"/>
    <cellStyle name="Hypertextový odkaz" xfId="1755" builtinId="8" hidden="1"/>
    <cellStyle name="Hypertextový odkaz" xfId="1757" builtinId="8" hidden="1"/>
    <cellStyle name="Hypertextový odkaz" xfId="1759" builtinId="8" hidden="1"/>
    <cellStyle name="Hypertextový odkaz" xfId="1761" builtinId="8" hidden="1"/>
    <cellStyle name="Hypertextový odkaz" xfId="1763" builtinId="8" hidden="1"/>
    <cellStyle name="Hypertextový odkaz" xfId="1765" builtinId="8" hidden="1"/>
    <cellStyle name="Hypertextový odkaz" xfId="1767" builtinId="8" hidden="1"/>
    <cellStyle name="Hypertextový odkaz" xfId="1769" builtinId="8" hidden="1"/>
    <cellStyle name="Hypertextový odkaz" xfId="1771" builtinId="8" hidden="1"/>
    <cellStyle name="Hypertextový odkaz" xfId="1773" builtinId="8" hidden="1"/>
    <cellStyle name="Hypertextový odkaz" xfId="1775" builtinId="8" hidden="1"/>
    <cellStyle name="Hypertextový odkaz" xfId="1777" builtinId="8" hidden="1"/>
    <cellStyle name="Hypertextový odkaz" xfId="1779" builtinId="8" hidden="1"/>
    <cellStyle name="Hypertextový odkaz" xfId="1781" builtinId="8" hidden="1"/>
    <cellStyle name="Hypertextový odkaz" xfId="1783" builtinId="8" hidden="1"/>
    <cellStyle name="Hypertextový odkaz" xfId="1785" builtinId="8" hidden="1"/>
    <cellStyle name="Hypertextový odkaz" xfId="1787" builtinId="8" hidden="1"/>
    <cellStyle name="Hypertextový odkaz" xfId="1789" builtinId="8" hidden="1"/>
    <cellStyle name="Hypertextový odkaz" xfId="1791" builtinId="8" hidden="1"/>
    <cellStyle name="Hypertextový odkaz" xfId="1793" builtinId="8" hidden="1"/>
    <cellStyle name="Hypertextový odkaz" xfId="1795" builtinId="8" hidden="1"/>
    <cellStyle name="Hypertextový odkaz" xfId="1797" builtinId="8" hidden="1"/>
    <cellStyle name="Hypertextový odkaz" xfId="1799" builtinId="8" hidden="1"/>
    <cellStyle name="Hypertextový odkaz" xfId="1801" builtinId="8" hidden="1"/>
    <cellStyle name="Hypertextový odkaz" xfId="1803" builtinId="8" hidden="1"/>
    <cellStyle name="Hypertextový odkaz" xfId="1805" builtinId="8" hidden="1"/>
    <cellStyle name="Hypertextový odkaz" xfId="1807" builtinId="8" hidden="1"/>
    <cellStyle name="Hypertextový odkaz" xfId="1809" builtinId="8" hidden="1"/>
    <cellStyle name="Hypertextový odkaz" xfId="1811" builtinId="8" hidden="1"/>
    <cellStyle name="Hypertextový odkaz" xfId="1813" builtinId="8" hidden="1"/>
    <cellStyle name="Hypertextový odkaz" xfId="1815" builtinId="8" hidden="1"/>
    <cellStyle name="Hypertextový odkaz" xfId="1817" builtinId="8" hidden="1"/>
    <cellStyle name="Hypertextový odkaz" xfId="1819" builtinId="8" hidden="1"/>
    <cellStyle name="Hypertextový odkaz" xfId="1821" builtinId="8" hidden="1"/>
    <cellStyle name="Hypertextový odkaz" xfId="1823" builtinId="8" hidden="1"/>
    <cellStyle name="Hypertextový odkaz" xfId="1825" builtinId="8" hidden="1"/>
    <cellStyle name="Hypertextový odkaz" xfId="1827" builtinId="8" hidden="1"/>
    <cellStyle name="Hypertextový odkaz" xfId="1829" builtinId="8" hidden="1"/>
    <cellStyle name="Hypertextový odkaz" xfId="1831" builtinId="8" hidden="1"/>
    <cellStyle name="Hypertextový odkaz" xfId="1833" builtinId="8" hidden="1"/>
    <cellStyle name="Hypertextový odkaz" xfId="1835" builtinId="8" hidden="1"/>
    <cellStyle name="Hypertextový odkaz" xfId="1837" builtinId="8" hidden="1"/>
    <cellStyle name="Hypertextový odkaz" xfId="1839" builtinId="8" hidden="1"/>
    <cellStyle name="Hypertextový odkaz" xfId="1841" builtinId="8" hidden="1"/>
    <cellStyle name="Hypertextový odkaz" xfId="1843" builtinId="8" hidden="1"/>
    <cellStyle name="Hypertextový odkaz" xfId="1845" builtinId="8" hidden="1"/>
    <cellStyle name="Hypertextový odkaz" xfId="1847" builtinId="8" hidden="1"/>
    <cellStyle name="Hypertextový odkaz" xfId="1849" builtinId="8" hidden="1"/>
    <cellStyle name="Hypertextový odkaz" xfId="1851" builtinId="8" hidden="1"/>
    <cellStyle name="Hypertextový odkaz" xfId="1853" builtinId="8" hidden="1"/>
    <cellStyle name="Hypertextový odkaz" xfId="1855" builtinId="8" hidden="1"/>
    <cellStyle name="Hypertextový odkaz" xfId="1857" builtinId="8" hidden="1"/>
    <cellStyle name="Hypertextový odkaz" xfId="1859" builtinId="8" hidden="1"/>
    <cellStyle name="Hypertextový odkaz" xfId="1861" builtinId="8" hidden="1"/>
    <cellStyle name="Hypertextový odkaz" xfId="1863" builtinId="8" hidden="1"/>
    <cellStyle name="Hypertextový odkaz" xfId="1865" builtinId="8" hidden="1"/>
    <cellStyle name="Hypertextový odkaz" xfId="1867" builtinId="8" hidden="1"/>
    <cellStyle name="Hypertextový odkaz" xfId="1869" builtinId="8" hidden="1"/>
    <cellStyle name="Hypertextový odkaz" xfId="1871" builtinId="8" hidden="1"/>
    <cellStyle name="Hypertextový odkaz" xfId="1873" builtinId="8" hidden="1"/>
    <cellStyle name="Hypertextový odkaz" xfId="1875" builtinId="8" hidden="1"/>
    <cellStyle name="Hypertextový odkaz" xfId="1877" builtinId="8" hidden="1"/>
    <cellStyle name="Hypertextový odkaz" xfId="1879" builtinId="8" hidden="1"/>
    <cellStyle name="Hypertextový odkaz" xfId="1881" builtinId="8" hidden="1"/>
    <cellStyle name="Hypertextový odkaz" xfId="1883" builtinId="8" hidden="1"/>
    <cellStyle name="Hypertextový odkaz" xfId="1885" builtinId="8" hidden="1"/>
    <cellStyle name="Hypertextový odkaz" xfId="1887" builtinId="8" hidden="1"/>
    <cellStyle name="Hypertextový odkaz" xfId="1889" builtinId="8" hidden="1"/>
    <cellStyle name="Hypertextový odkaz" xfId="1891" builtinId="8" hidden="1"/>
    <cellStyle name="Hypertextový odkaz" xfId="1893" builtinId="8" hidden="1"/>
    <cellStyle name="Hypertextový odkaz" xfId="1895" builtinId="8" hidden="1"/>
    <cellStyle name="Hypertextový odkaz" xfId="1897" builtinId="8" hidden="1"/>
    <cellStyle name="Hypertextový odkaz" xfId="1899" builtinId="8" hidden="1"/>
    <cellStyle name="Hypertextový odkaz" xfId="1901" builtinId="8" hidden="1"/>
    <cellStyle name="Hypertextový odkaz" xfId="1903" builtinId="8" hidden="1"/>
    <cellStyle name="Hypertextový odkaz" xfId="1905" builtinId="8" hidden="1"/>
    <cellStyle name="Hypertextový odkaz" xfId="1907" builtinId="8" hidden="1"/>
    <cellStyle name="Hypertextový odkaz" xfId="1909" builtinId="8" hidden="1"/>
    <cellStyle name="Hypertextový odkaz" xfId="1911" builtinId="8" hidden="1"/>
    <cellStyle name="Hypertextový odkaz" xfId="1913" builtinId="8" hidden="1"/>
    <cellStyle name="Hypertextový odkaz" xfId="1915" builtinId="8" hidden="1"/>
    <cellStyle name="Hypertextový odkaz" xfId="1917" builtinId="8" hidden="1"/>
    <cellStyle name="Hypertextový odkaz" xfId="1919" builtinId="8" hidden="1"/>
    <cellStyle name="Hypertextový odkaz" xfId="1921" builtinId="8" hidden="1"/>
    <cellStyle name="Hypertextový odkaz" xfId="1923" builtinId="8" hidden="1"/>
    <cellStyle name="Hypertextový odkaz" xfId="1925" builtinId="8" hidden="1"/>
    <cellStyle name="Hypertextový odkaz" xfId="1927" builtinId="8" hidden="1"/>
    <cellStyle name="Hypertextový odkaz" xfId="1929" builtinId="8" hidden="1"/>
    <cellStyle name="Hypertextový odkaz" xfId="1931" builtinId="8" hidden="1"/>
    <cellStyle name="Hypertextový odkaz" xfId="1933" builtinId="8" hidden="1"/>
    <cellStyle name="Hypertextový odkaz" xfId="1935" builtinId="8" hidden="1"/>
    <cellStyle name="Hypertextový odkaz" xfId="1937" builtinId="8" hidden="1"/>
    <cellStyle name="Hypertextový odkaz" xfId="1939" builtinId="8" hidden="1"/>
    <cellStyle name="Hypertextový odkaz" xfId="1941" builtinId="8" hidden="1"/>
    <cellStyle name="Hypertextový odkaz" xfId="1943" builtinId="8" hidden="1"/>
    <cellStyle name="Hypertextový odkaz" xfId="1945" builtinId="8" hidden="1"/>
    <cellStyle name="Hypertextový odkaz" xfId="1947" builtinId="8" hidden="1"/>
    <cellStyle name="Hypertextový odkaz" xfId="1949" builtinId="8" hidden="1"/>
    <cellStyle name="Hypertextový odkaz" xfId="1951" builtinId="8" hidden="1"/>
    <cellStyle name="Hypertextový odkaz" xfId="1953" builtinId="8" hidden="1"/>
    <cellStyle name="Hypertextový odkaz" xfId="1955" builtinId="8" hidden="1"/>
    <cellStyle name="Hypertextový odkaz" xfId="1957" builtinId="8" hidden="1"/>
    <cellStyle name="Hypertextový odkaz" xfId="1959" builtinId="8" hidden="1"/>
    <cellStyle name="Hypertextový odkaz" xfId="1961" builtinId="8" hidden="1"/>
    <cellStyle name="Hypertextový odkaz" xfId="1963" builtinId="8" hidden="1"/>
    <cellStyle name="Hypertextový odkaz" xfId="1965" builtinId="8" hidden="1"/>
    <cellStyle name="Hypertextový odkaz" xfId="1967" builtinId="8" hidden="1"/>
    <cellStyle name="Hypertextový odkaz" xfId="1969" builtinId="8" hidden="1"/>
    <cellStyle name="Hypertextový odkaz" xfId="1971" builtinId="8" hidden="1"/>
    <cellStyle name="Hypertextový odkaz" xfId="1973" builtinId="8" hidden="1"/>
    <cellStyle name="Hypertextový odkaz" xfId="1975" builtinId="8" hidden="1"/>
    <cellStyle name="Hypertextový odkaz" xfId="1977" builtinId="8" hidden="1"/>
    <cellStyle name="Hypertextový odkaz" xfId="1979" builtinId="8" hidden="1"/>
    <cellStyle name="Hypertextový odkaz" xfId="1981" builtinId="8" hidden="1"/>
    <cellStyle name="Hypertextový odkaz" xfId="1983" builtinId="8" hidden="1"/>
    <cellStyle name="Hypertextový odkaz" xfId="1985" builtinId="8" hidden="1"/>
    <cellStyle name="Hypertextový odkaz" xfId="1987" builtinId="8" hidden="1"/>
    <cellStyle name="Hypertextový odkaz" xfId="1989" builtinId="8" hidden="1"/>
    <cellStyle name="Hypertextový odkaz" xfId="1991" builtinId="8" hidden="1"/>
    <cellStyle name="Hypertextový odkaz" xfId="1993" builtinId="8" hidden="1"/>
    <cellStyle name="Hypertextový odkaz" xfId="1995" builtinId="8" hidden="1"/>
    <cellStyle name="Hypertextový odkaz" xfId="1997" builtinId="8" hidden="1"/>
    <cellStyle name="Hypertextový odkaz" xfId="1999" builtinId="8" hidden="1"/>
    <cellStyle name="Hypertextový odkaz" xfId="2001" builtinId="8" hidden="1"/>
    <cellStyle name="Hypertextový odkaz" xfId="2003" builtinId="8" hidden="1"/>
    <cellStyle name="Hypertextový odkaz" xfId="2005" builtinId="8" hidden="1"/>
    <cellStyle name="Hypertextový odkaz" xfId="2007" builtinId="8" hidden="1"/>
    <cellStyle name="Hypertextový odkaz" xfId="2009" builtinId="8" hidden="1"/>
    <cellStyle name="Hypertextový odkaz" xfId="2011" builtinId="8" hidden="1"/>
    <cellStyle name="Hypertextový odkaz" xfId="2013" builtinId="8" hidden="1"/>
    <cellStyle name="Hypertextový odkaz" xfId="2015" builtinId="8" hidden="1"/>
    <cellStyle name="Hypertextový odkaz" xfId="2017" builtinId="8" hidden="1"/>
    <cellStyle name="Hypertextový odkaz" xfId="2019" builtinId="8" hidden="1"/>
    <cellStyle name="Hypertextový odkaz" xfId="2021" builtinId="8" hidden="1"/>
    <cellStyle name="Hypertextový odkaz" xfId="2023" builtinId="8" hidden="1"/>
    <cellStyle name="Hypertextový odkaz" xfId="2025" builtinId="8" hidden="1"/>
    <cellStyle name="Hypertextový odkaz" xfId="2027" builtinId="8" hidden="1"/>
    <cellStyle name="Hypertextový odkaz" xfId="2029" builtinId="8" hidden="1"/>
    <cellStyle name="Hypertextový odkaz" xfId="2031" builtinId="8" hidden="1"/>
    <cellStyle name="Hypertextový odkaz" xfId="2033" builtinId="8" hidden="1"/>
    <cellStyle name="Hypertextový odkaz" xfId="2035" builtinId="8" hidden="1"/>
    <cellStyle name="Hypertextový odkaz" xfId="2037" builtinId="8" hidden="1"/>
    <cellStyle name="Hypertextový odkaz" xfId="2039" builtinId="8" hidden="1"/>
    <cellStyle name="Hypertextový odkaz" xfId="2041" builtinId="8" hidden="1"/>
    <cellStyle name="Hypertextový odkaz" xfId="2043" builtinId="8" hidden="1"/>
    <cellStyle name="Hypertextový odkaz" xfId="2045" builtinId="8" hidden="1"/>
    <cellStyle name="Hypertextový odkaz" xfId="2047" builtinId="8" hidden="1"/>
    <cellStyle name="Hypertextový odkaz" xfId="2049" builtinId="8" hidden="1"/>
    <cellStyle name="Hypertextový odkaz" xfId="2051" builtinId="8" hidden="1"/>
    <cellStyle name="Hypertextový odkaz" xfId="2053" builtinId="8" hidden="1"/>
    <cellStyle name="Hypertextový odkaz" xfId="2055" builtinId="8" hidden="1"/>
    <cellStyle name="Hypertextový odkaz" xfId="2057" builtinId="8" hidden="1"/>
    <cellStyle name="Hypertextový odkaz" xfId="2059" builtinId="8" hidden="1"/>
    <cellStyle name="Hypertextový odkaz" xfId="2061" builtinId="8" hidden="1"/>
    <cellStyle name="Hypertextový odkaz" xfId="2063" builtinId="8" hidden="1"/>
    <cellStyle name="Hypertextový odkaz" xfId="2065" builtinId="8" hidden="1"/>
    <cellStyle name="Hypertextový odkaz" xfId="2067" builtinId="8" hidden="1"/>
    <cellStyle name="Hypertextový odkaz" xfId="2069" builtinId="8" hidden="1"/>
    <cellStyle name="Hypertextový odkaz" xfId="2071" builtinId="8" hidden="1"/>
    <cellStyle name="Hypertextový odkaz" xfId="2073" builtinId="8" hidden="1"/>
    <cellStyle name="Hypertextový odkaz" xfId="2075" builtinId="8" hidden="1"/>
    <cellStyle name="Hypertextový odkaz" xfId="2077" builtinId="8" hidden="1"/>
    <cellStyle name="Hypertextový odkaz" xfId="2079" builtinId="8" hidden="1"/>
    <cellStyle name="Hypertextový odkaz" xfId="2081" builtinId="8" hidden="1"/>
    <cellStyle name="Hypertextový odkaz" xfId="2083" builtinId="8" hidden="1"/>
    <cellStyle name="Hypertextový odkaz" xfId="2085" builtinId="8" hidden="1"/>
    <cellStyle name="Hypertextový odkaz" xfId="2087" builtinId="8" hidden="1"/>
    <cellStyle name="Hypertextový odkaz" xfId="2089" builtinId="8" hidden="1"/>
    <cellStyle name="Hypertextový odkaz" xfId="2091" builtinId="8" hidden="1"/>
    <cellStyle name="Hypertextový odkaz" xfId="2093" builtinId="8" hidden="1"/>
    <cellStyle name="Hypertextový odkaz" xfId="2095" builtinId="8" hidden="1"/>
    <cellStyle name="Hypertextový odkaz" xfId="2097" builtinId="8" hidden="1"/>
    <cellStyle name="Hypertextový odkaz" xfId="2099" builtinId="8" hidden="1"/>
    <cellStyle name="Hypertextový odkaz" xfId="2101" builtinId="8" hidden="1"/>
    <cellStyle name="Hypertextový odkaz" xfId="2103" builtinId="8" hidden="1"/>
    <cellStyle name="Hypertextový odkaz" xfId="2105" builtinId="8" hidden="1"/>
    <cellStyle name="Hypertextový odkaz" xfId="2107" builtinId="8" hidden="1"/>
    <cellStyle name="Hypertextový odkaz" xfId="2109" builtinId="8" hidden="1"/>
    <cellStyle name="Hypertextový odkaz" xfId="2111" builtinId="8" hidden="1"/>
    <cellStyle name="Hypertextový odkaz" xfId="2113" builtinId="8" hidden="1"/>
    <cellStyle name="Hypertextový odkaz" xfId="2115" builtinId="8" hidden="1"/>
    <cellStyle name="Hypertextový odkaz" xfId="2117" builtinId="8" hidden="1"/>
    <cellStyle name="Hypertextový odkaz" xfId="2119" builtinId="8" hidden="1"/>
    <cellStyle name="Hypertextový odkaz" xfId="2121" builtinId="8" hidden="1"/>
    <cellStyle name="Hypertextový odkaz" xfId="2123" builtinId="8" hidden="1"/>
    <cellStyle name="Hypertextový odkaz" xfId="2125" builtinId="8" hidden="1"/>
    <cellStyle name="Hypertextový odkaz" xfId="2127" builtinId="8" hidden="1"/>
    <cellStyle name="Hypertextový odkaz" xfId="2129" builtinId="8" hidden="1"/>
    <cellStyle name="Hypertextový odkaz" xfId="2131" builtinId="8" hidden="1"/>
    <cellStyle name="Hypertextový odkaz" xfId="2133" builtinId="8" hidden="1"/>
    <cellStyle name="Hypertextový odkaz" xfId="2135" builtinId="8" hidden="1"/>
    <cellStyle name="Hypertextový odkaz" xfId="2137" builtinId="8" hidden="1"/>
    <cellStyle name="Hypertextový odkaz" xfId="2139" builtinId="8" hidden="1"/>
    <cellStyle name="Hypertextový odkaz" xfId="2141" builtinId="8" hidden="1"/>
    <cellStyle name="Hypertextový odkaz" xfId="2143" builtinId="8" hidden="1"/>
    <cellStyle name="Hypertextový odkaz" xfId="2145" builtinId="8" hidden="1"/>
    <cellStyle name="Hypertextový odkaz" xfId="2147" builtinId="8" hidden="1"/>
    <cellStyle name="Hypertextový odkaz" xfId="2149" builtinId="8" hidden="1"/>
    <cellStyle name="Hypertextový odkaz" xfId="2151" builtinId="8" hidden="1"/>
    <cellStyle name="Hypertextový odkaz" xfId="2153" builtinId="8" hidden="1"/>
    <cellStyle name="Hypertextový odkaz" xfId="2155" builtinId="8" hidden="1"/>
    <cellStyle name="Hypertextový odkaz" xfId="2157" builtinId="8" hidden="1"/>
    <cellStyle name="Hypertextový odkaz" xfId="2159" builtinId="8" hidden="1"/>
    <cellStyle name="Hypertextový odkaz" xfId="2161" builtinId="8" hidden="1"/>
    <cellStyle name="Hypertextový odkaz" xfId="2163" builtinId="8" hidden="1"/>
    <cellStyle name="Hypertextový odkaz" xfId="2165" builtinId="8" hidden="1"/>
    <cellStyle name="Hypertextový odkaz" xfId="2167" builtinId="8" hidden="1"/>
    <cellStyle name="Hypertextový odkaz" xfId="2169" builtinId="8" hidden="1"/>
    <cellStyle name="Hypertextový odkaz" xfId="2171" builtinId="8" hidden="1"/>
    <cellStyle name="Hypertextový odkaz" xfId="2173" builtinId="8" hidden="1"/>
    <cellStyle name="Hypertextový odkaz" xfId="2175" builtinId="8" hidden="1"/>
    <cellStyle name="Hypertextový odkaz" xfId="2177" builtinId="8" hidden="1"/>
    <cellStyle name="Hypertextový odkaz" xfId="2179" builtinId="8" hidden="1"/>
    <cellStyle name="Hypertextový odkaz" xfId="2181" builtinId="8" hidden="1"/>
    <cellStyle name="Hypertextový odkaz" xfId="2183" builtinId="8" hidden="1"/>
    <cellStyle name="Hypertextový odkaz" xfId="2185" builtinId="8" hidden="1"/>
    <cellStyle name="Hypertextový odkaz" xfId="2187" builtinId="8" hidden="1"/>
    <cellStyle name="Hypertextový odkaz" xfId="2189" builtinId="8" hidden="1"/>
    <cellStyle name="Hypertextový odkaz" xfId="2191" builtinId="8" hidden="1"/>
    <cellStyle name="Hypertextový odkaz" xfId="2193" builtinId="8" hidden="1"/>
    <cellStyle name="Hypertextový odkaz" xfId="2195" builtinId="8" hidden="1"/>
    <cellStyle name="Hypertextový odkaz" xfId="2197" builtinId="8" hidden="1"/>
    <cellStyle name="Hypertextový odkaz" xfId="2199" builtinId="8" hidden="1"/>
    <cellStyle name="Hypertextový odkaz" xfId="2201" builtinId="8" hidden="1"/>
    <cellStyle name="Hypertextový odkaz" xfId="2203" builtinId="8" hidden="1"/>
    <cellStyle name="Hypertextový odkaz" xfId="2205" builtinId="8" hidden="1"/>
    <cellStyle name="Hypertextový odkaz" xfId="2207" builtinId="8" hidden="1"/>
    <cellStyle name="Hypertextový odkaz" xfId="2209" builtinId="8" hidden="1"/>
    <cellStyle name="Hypertextový odkaz" xfId="2211" builtinId="8" hidden="1"/>
    <cellStyle name="Hypertextový odkaz" xfId="2213" builtinId="8" hidden="1"/>
    <cellStyle name="Hypertextový odkaz" xfId="2215" builtinId="8" hidden="1"/>
    <cellStyle name="Hypertextový odkaz" xfId="2217" builtinId="8" hidden="1"/>
    <cellStyle name="Hypertextový odkaz" xfId="2219" builtinId="8" hidden="1"/>
    <cellStyle name="Hypertextový odkaz" xfId="2221" builtinId="8" hidden="1"/>
    <cellStyle name="Hypertextový odkaz" xfId="2223" builtinId="8" hidden="1"/>
    <cellStyle name="Hypertextový odkaz" xfId="2225" builtinId="8" hidden="1"/>
    <cellStyle name="Hypertextový odkaz" xfId="2227" builtinId="8" hidden="1"/>
    <cellStyle name="Hypertextový odkaz" xfId="2229" builtinId="8" hidden="1"/>
    <cellStyle name="Hypertextový odkaz" xfId="2231" builtinId="8" hidden="1"/>
    <cellStyle name="Hypertextový odkaz" xfId="2233" builtinId="8" hidden="1"/>
    <cellStyle name="Hypertextový odkaz" xfId="2235" builtinId="8" hidden="1"/>
    <cellStyle name="Hypertextový odkaz" xfId="2237" builtinId="8" hidden="1"/>
    <cellStyle name="Hypertextový odkaz" xfId="2239" builtinId="8" hidden="1"/>
    <cellStyle name="Hypertextový odkaz" xfId="2241" builtinId="8" hidden="1"/>
    <cellStyle name="Hypertextový odkaz" xfId="2243" builtinId="8" hidden="1"/>
    <cellStyle name="Hypertextový odkaz" xfId="2245" builtinId="8" hidden="1"/>
    <cellStyle name="Hypertextový odkaz" xfId="2247" builtinId="8" hidden="1"/>
    <cellStyle name="Hypertextový odkaz" xfId="2249" builtinId="8" hidden="1"/>
    <cellStyle name="Hypertextový odkaz" xfId="2251" builtinId="8" hidden="1"/>
    <cellStyle name="Hypertextový odkaz" xfId="2253" builtinId="8" hidden="1"/>
    <cellStyle name="Hypertextový odkaz" xfId="2255" builtinId="8" hidden="1"/>
    <cellStyle name="Hypertextový odkaz" xfId="2257" builtinId="8" hidden="1"/>
    <cellStyle name="Hypertextový odkaz" xfId="2259" builtinId="8" hidden="1"/>
    <cellStyle name="Hypertextový odkaz" xfId="2261" builtinId="8" hidden="1"/>
    <cellStyle name="Hypertextový odkaz" xfId="2263" builtinId="8" hidden="1"/>
    <cellStyle name="Hypertextový odkaz" xfId="2265" builtinId="8" hidden="1"/>
    <cellStyle name="Hypertextový odkaz" xfId="2267" builtinId="8" hidden="1"/>
    <cellStyle name="Hypertextový odkaz" xfId="2269" builtinId="8" hidden="1"/>
    <cellStyle name="Hypertextový odkaz" xfId="2271" builtinId="8" hidden="1"/>
    <cellStyle name="Hypertextový odkaz" xfId="2273" builtinId="8" hidden="1"/>
    <cellStyle name="Hypertextový odkaz" xfId="2275" builtinId="8" hidden="1"/>
    <cellStyle name="Hypertextový odkaz" xfId="2277" builtinId="8" hidden="1"/>
    <cellStyle name="Hypertextový odkaz" xfId="2279" builtinId="8" hidden="1"/>
    <cellStyle name="Hypertextový odkaz" xfId="2281" builtinId="8" hidden="1"/>
    <cellStyle name="Hypertextový odkaz" xfId="2283" builtinId="8" hidden="1"/>
    <cellStyle name="Hypertextový odkaz" xfId="2285" builtinId="8" hidden="1"/>
    <cellStyle name="Hypertextový odkaz" xfId="2287" builtinId="8" hidden="1"/>
    <cellStyle name="Hypertextový odkaz" xfId="2289" builtinId="8" hidden="1"/>
    <cellStyle name="Hypertextový odkaz" xfId="2291" builtinId="8" hidden="1"/>
    <cellStyle name="Hypertextový odkaz" xfId="2293" builtinId="8" hidden="1"/>
    <cellStyle name="Hypertextový odkaz" xfId="2295" builtinId="8" hidden="1"/>
    <cellStyle name="Hypertextový odkaz" xfId="2297" builtinId="8" hidden="1"/>
    <cellStyle name="Hypertextový odkaz" xfId="2299" builtinId="8" hidden="1"/>
    <cellStyle name="Hypertextový odkaz" xfId="2301" builtinId="8" hidden="1"/>
    <cellStyle name="Hypertextový odkaz" xfId="2303" builtinId="8" hidden="1"/>
    <cellStyle name="Hypertextový odkaz" xfId="2305" builtinId="8" hidden="1"/>
    <cellStyle name="Hypertextový odkaz" xfId="2307" builtinId="8" hidden="1"/>
    <cellStyle name="Hypertextový odkaz" xfId="2309" builtinId="8" hidden="1"/>
    <cellStyle name="Hypertextový odkaz" xfId="2311" builtinId="8" hidden="1"/>
    <cellStyle name="Hypertextový odkaz" xfId="2313" builtinId="8" hidden="1"/>
    <cellStyle name="Hypertextový odkaz" xfId="2315" builtinId="8" hidden="1"/>
    <cellStyle name="Hypertextový odkaz" xfId="2317" builtinId="8" hidden="1"/>
    <cellStyle name="Hypertextový odkaz" xfId="2319" builtinId="8" hidden="1"/>
    <cellStyle name="Hypertextový odkaz" xfId="2321" builtinId="8" hidden="1"/>
    <cellStyle name="Hypertextový odkaz" xfId="2323" builtinId="8" hidden="1"/>
    <cellStyle name="Hypertextový odkaz" xfId="2325" builtinId="8" hidden="1"/>
    <cellStyle name="Hypertextový odkaz" xfId="2327" builtinId="8" hidden="1"/>
    <cellStyle name="Hypertextový odkaz" xfId="2329" builtinId="8" hidden="1"/>
    <cellStyle name="Hypertextový odkaz" xfId="2331" builtinId="8" hidden="1"/>
    <cellStyle name="Hypertextový odkaz" xfId="2333" builtinId="8" hidden="1"/>
    <cellStyle name="Hypertextový odkaz" xfId="2335" builtinId="8" hidden="1"/>
    <cellStyle name="Hypertextový odkaz" xfId="2337" builtinId="8" hidden="1"/>
    <cellStyle name="Hypertextový odkaz" xfId="2339" builtinId="8" hidden="1"/>
    <cellStyle name="Hypertextový odkaz" xfId="2341" builtinId="8" hidden="1"/>
    <cellStyle name="Hypertextový odkaz" xfId="2343" builtinId="8" hidden="1"/>
    <cellStyle name="Hypertextový odkaz" xfId="2345" builtinId="8" hidden="1"/>
    <cellStyle name="Hypertextový odkaz" xfId="2347" builtinId="8" hidden="1"/>
    <cellStyle name="Hypertextový odkaz" xfId="2349" builtinId="8" hidden="1"/>
    <cellStyle name="Hypertextový odkaz" xfId="2351" builtinId="8" hidden="1"/>
    <cellStyle name="Hypertextový odkaz" xfId="2353" builtinId="8" hidden="1"/>
    <cellStyle name="Hypertextový odkaz" xfId="2355" builtinId="8" hidden="1"/>
    <cellStyle name="Hypertextový odkaz" xfId="2357" builtinId="8" hidden="1"/>
    <cellStyle name="Hypertextový odkaz" xfId="2359" builtinId="8" hidden="1"/>
    <cellStyle name="Hypertextový odkaz" xfId="2361" builtinId="8" hidden="1"/>
    <cellStyle name="Hypertextový odkaz" xfId="2363" builtinId="8" hidden="1"/>
    <cellStyle name="Hypertextový odkaz" xfId="2365" builtinId="8" hidden="1"/>
    <cellStyle name="Hypertextový odkaz" xfId="2367" builtinId="8" hidden="1"/>
    <cellStyle name="Hypertextový odkaz" xfId="2369" builtinId="8" hidden="1"/>
    <cellStyle name="Hypertextový odkaz" xfId="2371" builtinId="8" hidden="1"/>
    <cellStyle name="Hypertextový odkaz" xfId="2373" builtinId="8" hidden="1"/>
    <cellStyle name="Hypertextový odkaz" xfId="2375" builtinId="8" hidden="1"/>
    <cellStyle name="Hypertextový odkaz" xfId="2377" builtinId="8" hidden="1"/>
    <cellStyle name="Hypertextový odkaz" xfId="2379" builtinId="8" hidden="1"/>
    <cellStyle name="Hypertextový odkaz" xfId="2381" builtinId="8" hidden="1"/>
    <cellStyle name="Hypertextový odkaz" xfId="2383" builtinId="8" hidden="1"/>
    <cellStyle name="Hypertextový odkaz" xfId="2385" builtinId="8" hidden="1"/>
    <cellStyle name="Hypertextový odkaz" xfId="2387" builtinId="8" hidden="1"/>
    <cellStyle name="Hypertextový odkaz" xfId="2389" builtinId="8" hidden="1"/>
    <cellStyle name="Hypertextový odkaz" xfId="2391" builtinId="8" hidden="1"/>
    <cellStyle name="Hypertextový odkaz" xfId="2393" builtinId="8" hidden="1"/>
    <cellStyle name="Hypertextový odkaz" xfId="2395" builtinId="8" hidden="1"/>
    <cellStyle name="Hypertextový odkaz" xfId="2397" builtinId="8" hidden="1"/>
    <cellStyle name="Hypertextový odkaz" xfId="2399" builtinId="8" hidden="1"/>
    <cellStyle name="Hypertextový odkaz" xfId="2401" builtinId="8" hidden="1"/>
    <cellStyle name="Hypertextový odkaz" xfId="2403" builtinId="8" hidden="1"/>
    <cellStyle name="Hypertextový odkaz" xfId="2405" builtinId="8" hidden="1"/>
    <cellStyle name="Hypertextový odkaz" xfId="2407" builtinId="8" hidden="1"/>
    <cellStyle name="Hypertextový odkaz" xfId="2409" builtinId="8" hidden="1"/>
    <cellStyle name="Hypertextový odkaz" xfId="2411" builtinId="8" hidden="1"/>
    <cellStyle name="Hypertextový odkaz" xfId="2413" builtinId="8" hidden="1"/>
    <cellStyle name="Hypertextový odkaz" xfId="2415" builtinId="8" hidden="1"/>
    <cellStyle name="Hypertextový odkaz" xfId="2417" builtinId="8" hidden="1"/>
    <cellStyle name="Hypertextový odkaz" xfId="2419" builtinId="8" hidden="1"/>
    <cellStyle name="Hypertextový odkaz" xfId="2421" builtinId="8" hidden="1"/>
    <cellStyle name="Hypertextový odkaz" xfId="2423" builtinId="8" hidden="1"/>
    <cellStyle name="Hypertextový odkaz" xfId="2425" builtinId="8" hidden="1"/>
    <cellStyle name="Hypertextový odkaz" xfId="2427" builtinId="8" hidden="1"/>
    <cellStyle name="Hypertextový odkaz" xfId="2429" builtinId="8" hidden="1"/>
    <cellStyle name="Hypertextový odkaz" xfId="2431" builtinId="8" hidden="1"/>
    <cellStyle name="Hypertextový odkaz" xfId="2433" builtinId="8" hidden="1"/>
    <cellStyle name="Hypertextový odkaz" xfId="2435" builtinId="8" hidden="1"/>
    <cellStyle name="Hypertextový odkaz" xfId="2437" builtinId="8" hidden="1"/>
    <cellStyle name="Hypertextový odkaz" xfId="2439" builtinId="8" hidden="1"/>
    <cellStyle name="Hypertextový odkaz" xfId="2441" builtinId="8" hidden="1"/>
    <cellStyle name="Hypertextový odkaz" xfId="2443" builtinId="8" hidden="1"/>
    <cellStyle name="Hypertextový odkaz" xfId="2445" builtinId="8" hidden="1"/>
    <cellStyle name="Hypertextový odkaz" xfId="2447" builtinId="8" hidden="1"/>
    <cellStyle name="Hypertextový odkaz" xfId="2449" builtinId="8" hidden="1"/>
    <cellStyle name="Hypertextový odkaz" xfId="2451" builtinId="8" hidden="1"/>
    <cellStyle name="Hypertextový odkaz" xfId="2453" builtinId="8" hidden="1"/>
    <cellStyle name="Hypertextový odkaz" xfId="2455" builtinId="8" hidden="1"/>
    <cellStyle name="Hypertextový odkaz" xfId="2457" builtinId="8" hidden="1"/>
    <cellStyle name="Hypertextový odkaz" xfId="2459" builtinId="8" hidden="1"/>
    <cellStyle name="Hypertextový odkaz" xfId="2461" builtinId="8" hidden="1"/>
    <cellStyle name="Hypertextový odkaz" xfId="2463" builtinId="8" hidden="1"/>
    <cellStyle name="Hypertextový odkaz" xfId="2465" builtinId="8" hidden="1"/>
    <cellStyle name="Hypertextový odkaz" xfId="2467" builtinId="8" hidden="1"/>
    <cellStyle name="Hypertextový odkaz" xfId="2469" builtinId="8" hidden="1"/>
    <cellStyle name="Hypertextový odkaz" xfId="2471" builtinId="8" hidden="1"/>
    <cellStyle name="Hypertextový odkaz" xfId="2473" builtinId="8" hidden="1"/>
    <cellStyle name="Hypertextový odkaz" xfId="2475" builtinId="8" hidden="1"/>
    <cellStyle name="Hypertextový odkaz" xfId="2477" builtinId="8" hidden="1"/>
    <cellStyle name="Hypertextový odkaz" xfId="2479" builtinId="8" hidden="1"/>
    <cellStyle name="Hypertextový odkaz" xfId="2481" builtinId="8" hidden="1"/>
    <cellStyle name="Hypertextový odkaz" xfId="2483" builtinId="8" hidden="1"/>
    <cellStyle name="Hypertextový odkaz" xfId="2485" builtinId="8" hidden="1"/>
    <cellStyle name="Hypertextový odkaz" xfId="2487" builtinId="8" hidden="1"/>
    <cellStyle name="Hypertextový odkaz" xfId="2489" builtinId="8" hidden="1"/>
    <cellStyle name="Hypertextový odkaz" xfId="2491" builtinId="8" hidden="1"/>
    <cellStyle name="Hypertextový odkaz" xfId="2493" builtinId="8" hidden="1"/>
    <cellStyle name="Hypertextový odkaz" xfId="2495" builtinId="8" hidden="1"/>
    <cellStyle name="Hypertextový odkaz" xfId="2497" builtinId="8" hidden="1"/>
    <cellStyle name="Hypertextový odkaz" xfId="2499" builtinId="8" hidden="1"/>
    <cellStyle name="Hypertextový odkaz" xfId="2501" builtinId="8" hidden="1"/>
    <cellStyle name="Hypertextový odkaz" xfId="2503" builtinId="8" hidden="1"/>
    <cellStyle name="Hypertextový odkaz" xfId="2505" builtinId="8" hidden="1"/>
    <cellStyle name="Hypertextový odkaz" xfId="2507" builtinId="8" hidden="1"/>
    <cellStyle name="Hypertextový odkaz" xfId="2509" builtinId="8" hidden="1"/>
    <cellStyle name="Hypertextový odkaz" xfId="2511" builtinId="8" hidden="1"/>
    <cellStyle name="Hypertextový odkaz" xfId="2513" builtinId="8" hidden="1"/>
    <cellStyle name="Hypertextový odkaz" xfId="2515" builtinId="8" hidden="1"/>
    <cellStyle name="Hypertextový odkaz" xfId="2517" builtinId="8" hidden="1"/>
    <cellStyle name="Hypertextový odkaz" xfId="2519" builtinId="8" hidden="1"/>
    <cellStyle name="Hypertextový odkaz" xfId="2521" builtinId="8" hidden="1"/>
    <cellStyle name="Hypertextový odkaz" xfId="2523" builtinId="8" hidden="1"/>
    <cellStyle name="Hypertextový odkaz" xfId="2525" builtinId="8" hidden="1"/>
    <cellStyle name="Hypertextový odkaz" xfId="2527" builtinId="8" hidden="1"/>
    <cellStyle name="Hypertextový odkaz" xfId="2529" builtinId="8" hidden="1"/>
    <cellStyle name="Hypertextový odkaz" xfId="2531" builtinId="8" hidden="1"/>
    <cellStyle name="Hypertextový odkaz" xfId="2533" builtinId="8" hidden="1"/>
    <cellStyle name="Hypertextový odkaz" xfId="2535" builtinId="8" hidden="1"/>
    <cellStyle name="Hypertextový odkaz" xfId="2537" builtinId="8" hidden="1"/>
    <cellStyle name="Hypertextový odkaz" xfId="2539" builtinId="8" hidden="1"/>
    <cellStyle name="Hypertextový odkaz" xfId="2541" builtinId="8" hidden="1"/>
    <cellStyle name="Hypertextový odkaz" xfId="2543" builtinId="8" hidden="1"/>
    <cellStyle name="Hypertextový odkaz" xfId="2545" builtinId="8" hidden="1"/>
    <cellStyle name="Hypertextový odkaz" xfId="2547" builtinId="8" hidden="1"/>
    <cellStyle name="Hypertextový odkaz" xfId="2549" builtinId="8" hidden="1"/>
    <cellStyle name="Hypertextový odkaz" xfId="2551" builtinId="8" hidden="1"/>
    <cellStyle name="Hypertextový odkaz" xfId="2553" builtinId="8" hidden="1"/>
    <cellStyle name="Hypertextový odkaz" xfId="2555" builtinId="8" hidden="1"/>
    <cellStyle name="Hypertextový odkaz" xfId="2557" builtinId="8" hidden="1"/>
    <cellStyle name="Hypertextový odkaz" xfId="2559" builtinId="8" hidden="1"/>
    <cellStyle name="Hypertextový odkaz" xfId="2561" builtinId="8" hidden="1"/>
    <cellStyle name="Hypertextový odkaz" xfId="2563" builtinId="8" hidden="1"/>
    <cellStyle name="Hypertextový odkaz" xfId="2565" builtinId="8" hidden="1"/>
    <cellStyle name="Hypertextový odkaz" xfId="2567" builtinId="8" hidden="1"/>
    <cellStyle name="Hypertextový odkaz" xfId="2569" builtinId="8" hidden="1"/>
    <cellStyle name="Hypertextový odkaz" xfId="2571" builtinId="8" hidden="1"/>
    <cellStyle name="Hypertextový odkaz" xfId="2573" builtinId="8" hidden="1"/>
    <cellStyle name="Hypertextový odkaz" xfId="2575" builtinId="8" hidden="1"/>
    <cellStyle name="Hypertextový odkaz" xfId="2577" builtinId="8" hidden="1"/>
    <cellStyle name="Hypertextový odkaz" xfId="2579" builtinId="8" hidden="1"/>
    <cellStyle name="Hypertextový odkaz" xfId="2581" builtinId="8" hidden="1"/>
    <cellStyle name="Hypertextový odkaz" xfId="2583" builtinId="8" hidden="1"/>
    <cellStyle name="Hypertextový odkaz" xfId="2585" builtinId="8" hidden="1"/>
    <cellStyle name="Hypertextový odkaz" xfId="2587" builtinId="8" hidden="1"/>
    <cellStyle name="Hypertextový odkaz" xfId="2589" builtinId="8" hidden="1"/>
    <cellStyle name="Hypertextový odkaz" xfId="2591" builtinId="8" hidden="1"/>
    <cellStyle name="Hypertextový odkaz" xfId="2593" builtinId="8" hidden="1"/>
    <cellStyle name="Hypertextový odkaz" xfId="2595" builtinId="8" hidden="1"/>
    <cellStyle name="Hypertextový odkaz" xfId="2597" builtinId="8" hidden="1"/>
    <cellStyle name="Hypertextový odkaz" xfId="2600" builtinId="8" hidden="1"/>
    <cellStyle name="Hypertextový odkaz" xfId="2602" builtinId="8" hidden="1"/>
    <cellStyle name="Hypertextový odkaz" xfId="2604" builtinId="8" hidden="1"/>
    <cellStyle name="Hypertextový odkaz" xfId="2606" builtinId="8" hidden="1"/>
    <cellStyle name="Hypertextový odkaz" xfId="2608" builtinId="8" hidden="1"/>
    <cellStyle name="Hypertextový odkaz" xfId="2610" builtinId="8" hidden="1"/>
    <cellStyle name="Hypertextový odkaz" xfId="2612" builtinId="8" hidden="1"/>
    <cellStyle name="Hypertextový odkaz" xfId="2614" builtinId="8" hidden="1"/>
    <cellStyle name="Hypertextový odkaz" xfId="2616" builtinId="8" hidden="1"/>
    <cellStyle name="Hypertextový odkaz" xfId="2618" builtinId="8" hidden="1"/>
    <cellStyle name="Hypertextový odkaz" xfId="2620" builtinId="8" hidden="1"/>
    <cellStyle name="Hypertextový odkaz" xfId="2622" builtinId="8" hidden="1"/>
    <cellStyle name="Hypertextový odkaz" xfId="2624" builtinId="8" hidden="1"/>
    <cellStyle name="Hypertextový odkaz" xfId="2626" builtinId="8" hidden="1"/>
    <cellStyle name="Hypertextový odkaz" xfId="2628" builtinId="8" hidden="1"/>
    <cellStyle name="Hypertextový odkaz" xfId="2630" builtinId="8" hidden="1"/>
    <cellStyle name="Hypertextový odkaz" xfId="2632" builtinId="8" hidden="1"/>
    <cellStyle name="Hypertextový odkaz" xfId="2634" builtinId="8" hidden="1"/>
    <cellStyle name="Hypertextový odkaz" xfId="2636" builtinId="8" hidden="1"/>
    <cellStyle name="Hypertextový odkaz" xfId="2638" builtinId="8" hidden="1"/>
    <cellStyle name="Hypertextový odkaz" xfId="2640" builtinId="8" hidden="1"/>
    <cellStyle name="Hypertextový odkaz" xfId="2642" builtinId="8" hidden="1"/>
    <cellStyle name="Hypertextový odkaz" xfId="2644" builtinId="8" hidden="1"/>
    <cellStyle name="Hypertextový odkaz" xfId="2646" builtinId="8" hidden="1"/>
    <cellStyle name="Hypertextový odkaz" xfId="2648" builtinId="8" hidden="1"/>
    <cellStyle name="Hypertextový odkaz" xfId="2650" builtinId="8" hidden="1"/>
    <cellStyle name="Hypertextový odkaz" xfId="2652" builtinId="8" hidden="1"/>
    <cellStyle name="Hypertextový odkaz" xfId="2654" builtinId="8" hidden="1"/>
    <cellStyle name="Hypertextový odkaz" xfId="2656" builtinId="8" hidden="1"/>
    <cellStyle name="Hypertextový odkaz" xfId="2658" builtinId="8" hidden="1"/>
    <cellStyle name="Hypertextový odkaz" xfId="2660" builtinId="8" hidden="1"/>
    <cellStyle name="Hypertextový odkaz" xfId="2662" builtinId="8" hidden="1"/>
    <cellStyle name="Hypertextový odkaz" xfId="2664" builtinId="8" hidden="1"/>
    <cellStyle name="Hypertextový odkaz" xfId="2666" builtinId="8" hidden="1"/>
    <cellStyle name="Hypertextový odkaz" xfId="2668" builtinId="8" hidden="1"/>
    <cellStyle name="Hypertextový odkaz" xfId="2670" builtinId="8" hidden="1"/>
    <cellStyle name="Hypertextový odkaz" xfId="2672" builtinId="8" hidden="1"/>
    <cellStyle name="Hypertextový odkaz" xfId="2674" builtinId="8" hidden="1"/>
    <cellStyle name="Hypertextový odkaz" xfId="2676" builtinId="8" hidden="1"/>
    <cellStyle name="Hypertextový odkaz" xfId="2678" builtinId="8" hidden="1"/>
    <cellStyle name="Hypertextový odkaz" xfId="2680" builtinId="8" hidden="1"/>
    <cellStyle name="Hypertextový odkaz" xfId="2682" builtinId="8" hidden="1"/>
    <cellStyle name="Hypertextový odkaz" xfId="2684" builtinId="8" hidden="1"/>
    <cellStyle name="Hypertextový odkaz" xfId="2686" builtinId="8" hidden="1"/>
    <cellStyle name="Hypertextový odkaz" xfId="2688" builtinId="8" hidden="1"/>
    <cellStyle name="Hypertextový odkaz" xfId="2690" builtinId="8" hidden="1"/>
    <cellStyle name="Hypertextový odkaz" xfId="2692" builtinId="8" hidden="1"/>
    <cellStyle name="Hypertextový odkaz" xfId="2694" builtinId="8" hidden="1"/>
    <cellStyle name="Hypertextový odkaz" xfId="2696" builtinId="8" hidden="1"/>
    <cellStyle name="Hypertextový odkaz" xfId="2698" builtinId="8" hidden="1"/>
    <cellStyle name="Hypertextový odkaz" xfId="2700" builtinId="8" hidden="1"/>
    <cellStyle name="Hypertextový odkaz" xfId="2702" builtinId="8" hidden="1"/>
    <cellStyle name="Hypertextový odkaz" xfId="2704" builtinId="8" hidden="1"/>
    <cellStyle name="Hypertextový odkaz" xfId="2706" builtinId="8" hidden="1"/>
    <cellStyle name="Hypertextový odkaz" xfId="2708" builtinId="8" hidden="1"/>
    <cellStyle name="Hypertextový odkaz" xfId="2710" builtinId="8" hidden="1"/>
    <cellStyle name="Hypertextový odkaz" xfId="2712" builtinId="8" hidden="1"/>
    <cellStyle name="Hypertextový odkaz" xfId="2714" builtinId="8" hidden="1"/>
    <cellStyle name="Hypertextový odkaz" xfId="2716" builtinId="8" hidden="1"/>
    <cellStyle name="Hypertextový odkaz" xfId="2718" builtinId="8" hidden="1"/>
    <cellStyle name="Hypertextový odkaz" xfId="2720" builtinId="8" hidden="1"/>
    <cellStyle name="Hypertextový odkaz" xfId="2722" builtinId="8" hidden="1"/>
    <cellStyle name="Hypertextový odkaz" xfId="2724" builtinId="8" hidden="1"/>
    <cellStyle name="Hypertextový odkaz" xfId="2726" builtinId="8" hidden="1"/>
    <cellStyle name="Hypertextový odkaz" xfId="2728" builtinId="8" hidden="1"/>
    <cellStyle name="Hypertextový odkaz" xfId="2730" builtinId="8" hidden="1"/>
    <cellStyle name="Hypertextový odkaz" xfId="2732" builtinId="8" hidden="1"/>
    <cellStyle name="Hypertextový odkaz" xfId="2734" builtinId="8" hidden="1"/>
    <cellStyle name="Hypertextový odkaz" xfId="2736" builtinId="8" hidden="1"/>
    <cellStyle name="Hypertextový odkaz" xfId="2738" builtinId="8" hidden="1"/>
    <cellStyle name="Hypertextový odkaz" xfId="2740" builtinId="8" hidden="1"/>
    <cellStyle name="Hypertextový odkaz" xfId="2742" builtinId="8" hidden="1"/>
    <cellStyle name="Hypertextový odkaz" xfId="2744" builtinId="8" hidden="1"/>
    <cellStyle name="Hypertextový odkaz" xfId="2746" builtinId="8" hidden="1"/>
    <cellStyle name="Hypertextový odkaz" xfId="2748" builtinId="8" hidden="1"/>
    <cellStyle name="Hypertextový odkaz" xfId="2750" builtinId="8" hidden="1"/>
    <cellStyle name="Hypertextový odkaz" xfId="2752" builtinId="8" hidden="1"/>
    <cellStyle name="Hypertextový odkaz" xfId="2754" builtinId="8" hidden="1"/>
    <cellStyle name="Hypertextový odkaz" xfId="2756" builtinId="8" hidden="1"/>
    <cellStyle name="Hypertextový odkaz" xfId="2758" builtinId="8" hidden="1"/>
    <cellStyle name="Hypertextový odkaz" xfId="2760" builtinId="8" hidden="1"/>
    <cellStyle name="Hypertextový odkaz" xfId="2762" builtinId="8" hidden="1"/>
    <cellStyle name="Hypertextový odkaz" xfId="2764" builtinId="8" hidden="1"/>
    <cellStyle name="Hypertextový odkaz" xfId="2766" builtinId="8" hidden="1"/>
    <cellStyle name="Hypertextový odkaz" xfId="2768" builtinId="8" hidden="1"/>
    <cellStyle name="Hypertextový odkaz" xfId="2770" builtinId="8" hidden="1"/>
    <cellStyle name="Hypertextový odkaz" xfId="2772" builtinId="8" hidden="1"/>
    <cellStyle name="Hypertextový odkaz" xfId="2774" builtinId="8" hidden="1"/>
    <cellStyle name="Hypertextový odkaz" xfId="2776" builtinId="8" hidden="1"/>
    <cellStyle name="Hypertextový odkaz" xfId="2778" builtinId="8" hidden="1"/>
    <cellStyle name="Hypertextový odkaz" xfId="2780" builtinId="8" hidden="1"/>
    <cellStyle name="Hypertextový odkaz" xfId="2782" builtinId="8" hidden="1"/>
    <cellStyle name="Hypertextový odkaz" xfId="2784" builtinId="8" hidden="1"/>
    <cellStyle name="Hypertextový odkaz" xfId="2786" builtinId="8" hidden="1"/>
    <cellStyle name="Hypertextový odkaz" xfId="2788" builtinId="8" hidden="1"/>
    <cellStyle name="Hypertextový odkaz" xfId="2790" builtinId="8" hidden="1"/>
    <cellStyle name="Hypertextový odkaz" xfId="2792" builtinId="8" hidden="1"/>
    <cellStyle name="Hypertextový odkaz" xfId="2794" builtinId="8" hidden="1"/>
    <cellStyle name="Hypertextový odkaz" xfId="2796" builtinId="8" hidden="1"/>
    <cellStyle name="Hypertextový odkaz" xfId="2798" builtinId="8" hidden="1"/>
    <cellStyle name="Hypertextový odkaz" xfId="2800" builtinId="8" hidden="1"/>
    <cellStyle name="Hypertextový odkaz" xfId="2802" builtinId="8" hidden="1"/>
    <cellStyle name="Hypertextový odkaz" xfId="2804" builtinId="8" hidden="1"/>
    <cellStyle name="Hypertextový odkaz" xfId="2806" builtinId="8" hidden="1"/>
    <cellStyle name="Hypertextový odkaz" xfId="2808" builtinId="8" hidden="1"/>
    <cellStyle name="Hypertextový odkaz" xfId="2810" builtinId="8" hidden="1"/>
    <cellStyle name="Hypertextový odkaz" xfId="2812" builtinId="8" hidden="1"/>
    <cellStyle name="Hypertextový odkaz" xfId="2814" builtinId="8" hidden="1"/>
    <cellStyle name="Hypertextový odkaz" xfId="2816" builtinId="8" hidden="1"/>
    <cellStyle name="Hypertextový odkaz" xfId="2818" builtinId="8" hidden="1"/>
    <cellStyle name="Hypertextový odkaz" xfId="2820" builtinId="8" hidden="1"/>
    <cellStyle name="Hypertextový odkaz" xfId="2822" builtinId="8" hidden="1"/>
    <cellStyle name="Hypertextový odkaz" xfId="2824" builtinId="8" hidden="1"/>
    <cellStyle name="Hypertextový odkaz" xfId="2826" builtinId="8" hidden="1"/>
    <cellStyle name="Hypertextový odkaz" xfId="2828" builtinId="8" hidden="1"/>
    <cellStyle name="Hypertextový odkaz" xfId="2830" builtinId="8" hidden="1"/>
    <cellStyle name="Hypertextový odkaz" xfId="2832" builtinId="8" hidden="1"/>
    <cellStyle name="Hypertextový odkaz" xfId="2834" builtinId="8" hidden="1"/>
    <cellStyle name="Hypertextový odkaz" xfId="2836" builtinId="8" hidden="1"/>
    <cellStyle name="Hypertextový odkaz" xfId="2838" builtinId="8" hidden="1"/>
    <cellStyle name="Hypertextový odkaz" xfId="2840" builtinId="8" hidden="1"/>
    <cellStyle name="Hypertextový odkaz" xfId="2842" builtinId="8" hidden="1"/>
    <cellStyle name="Hypertextový odkaz" xfId="2844" builtinId="8" hidden="1"/>
    <cellStyle name="Hypertextový odkaz" xfId="2846" builtinId="8" hidden="1"/>
    <cellStyle name="Hypertextový odkaz" xfId="2848" builtinId="8" hidden="1"/>
    <cellStyle name="Hypertextový odkaz" xfId="2850" builtinId="8" hidden="1"/>
    <cellStyle name="Hypertextový odkaz" xfId="2852" builtinId="8" hidden="1"/>
    <cellStyle name="Hypertextový odkaz" xfId="2854" builtinId="8" hidden="1"/>
    <cellStyle name="Hypertextový odkaz" xfId="2856" builtinId="8" hidden="1"/>
    <cellStyle name="Hypertextový odkaz" xfId="2858" builtinId="8" hidden="1"/>
    <cellStyle name="Hypertextový odkaz" xfId="2860" builtinId="8" hidden="1"/>
    <cellStyle name="Hypertextový odkaz" xfId="2862" builtinId="8" hidden="1"/>
    <cellStyle name="Hypertextový odkaz" xfId="2864" builtinId="8" hidden="1"/>
    <cellStyle name="Hypertextový odkaz" xfId="2866" builtinId="8" hidden="1"/>
    <cellStyle name="Hypertextový odkaz" xfId="2868" builtinId="8" hidden="1"/>
    <cellStyle name="Hypertextový odkaz" xfId="2870" builtinId="8" hidden="1"/>
    <cellStyle name="Hypertextový odkaz" xfId="2872" builtinId="8" hidden="1"/>
    <cellStyle name="Hypertextový odkaz" xfId="2874" builtinId="8" hidden="1"/>
    <cellStyle name="Hypertextový odkaz" xfId="2876" builtinId="8" hidden="1"/>
    <cellStyle name="Hypertextový odkaz" xfId="2878" builtinId="8" hidden="1"/>
    <cellStyle name="Hypertextový odkaz" xfId="2880" builtinId="8" hidden="1"/>
    <cellStyle name="Hypertextový odkaz" xfId="2882" builtinId="8" hidden="1"/>
    <cellStyle name="Hypertextový odkaz" xfId="2884" builtinId="8" hidden="1"/>
    <cellStyle name="Hypertextový odkaz" xfId="2886" builtinId="8" hidden="1"/>
    <cellStyle name="Hypertextový odkaz" xfId="2888" builtinId="8" hidden="1"/>
    <cellStyle name="Hypertextový odkaz" xfId="2890" builtinId="8" hidden="1"/>
    <cellStyle name="Hypertextový odkaz" xfId="2892" builtinId="8" hidden="1"/>
    <cellStyle name="Hypertextový odkaz" xfId="2894" builtinId="8" hidden="1"/>
    <cellStyle name="Hypertextový odkaz" xfId="2896" builtinId="8" hidden="1"/>
    <cellStyle name="Hypertextový odkaz" xfId="2898" builtinId="8" hidden="1"/>
    <cellStyle name="Hypertextový odkaz" xfId="2900" builtinId="8" hidden="1"/>
    <cellStyle name="Hypertextový odkaz" xfId="2902" builtinId="8" hidden="1"/>
    <cellStyle name="Hypertextový odkaz" xfId="2904" builtinId="8" hidden="1"/>
    <cellStyle name="Hypertextový odkaz" xfId="2906" builtinId="8" hidden="1"/>
    <cellStyle name="Hypertextový odkaz" xfId="2908" builtinId="8" hidden="1"/>
    <cellStyle name="Hypertextový odkaz" xfId="2910" builtinId="8" hidden="1"/>
    <cellStyle name="Hypertextový odkaz" xfId="2912" builtinId="8" hidden="1"/>
    <cellStyle name="Hypertextový odkaz" xfId="2914" builtinId="8" hidden="1"/>
    <cellStyle name="Hypertextový odkaz" xfId="2916" builtinId="8" hidden="1"/>
    <cellStyle name="Hypertextový odkaz" xfId="2918" builtinId="8" hidden="1"/>
    <cellStyle name="Hypertextový odkaz" xfId="2920" builtinId="8" hidden="1"/>
    <cellStyle name="Hypertextový odkaz" xfId="2922" builtinId="8" hidden="1"/>
    <cellStyle name="Hypertextový odkaz" xfId="2924" builtinId="8" hidden="1"/>
    <cellStyle name="Hypertextový odkaz" xfId="2926" builtinId="8" hidden="1"/>
    <cellStyle name="Hypertextový odkaz" xfId="2928" builtinId="8" hidden="1"/>
    <cellStyle name="Hypertextový odkaz" xfId="2930" builtinId="8" hidden="1"/>
    <cellStyle name="Hypertextový odkaz" xfId="2932" builtinId="8" hidden="1"/>
    <cellStyle name="Hypertextový odkaz" xfId="2934" builtinId="8" hidden="1"/>
    <cellStyle name="Hypertextový odkaz" xfId="2936" builtinId="8" hidden="1"/>
    <cellStyle name="Hypertextový odkaz" xfId="2938" builtinId="8" hidden="1"/>
    <cellStyle name="Hypertextový odkaz" xfId="2940" builtinId="8" hidden="1"/>
    <cellStyle name="Hypertextový odkaz" xfId="2942" builtinId="8" hidden="1"/>
    <cellStyle name="Hypertextový odkaz" xfId="2944" builtinId="8" hidden="1"/>
    <cellStyle name="Hypertextový odkaz" xfId="2946" builtinId="8" hidden="1"/>
    <cellStyle name="Hypertextový odkaz" xfId="2948" builtinId="8" hidden="1"/>
    <cellStyle name="Hypertextový odkaz" xfId="2950" builtinId="8" hidden="1"/>
    <cellStyle name="Hypertextový odkaz" xfId="2952" builtinId="8" hidden="1"/>
    <cellStyle name="Hypertextový odkaz" xfId="2954" builtinId="8" hidden="1"/>
    <cellStyle name="Hypertextový odkaz" xfId="2956" builtinId="8" hidden="1"/>
    <cellStyle name="Hypertextový odkaz" xfId="2958" builtinId="8" hidden="1"/>
    <cellStyle name="Hypertextový odkaz" xfId="2960" builtinId="8" hidden="1"/>
    <cellStyle name="Hypertextový odkaz" xfId="2962" builtinId="8" hidden="1"/>
    <cellStyle name="Hypertextový odkaz" xfId="2964" builtinId="8" hidden="1"/>
    <cellStyle name="Hypertextový odkaz" xfId="2967" builtinId="8" hidden="1"/>
    <cellStyle name="Hypertextový odkaz" xfId="2969" builtinId="8" hidden="1"/>
    <cellStyle name="Hypertextový odkaz" xfId="2971" builtinId="8" hidden="1"/>
    <cellStyle name="Hypertextový odkaz" xfId="2973" builtinId="8" hidden="1"/>
    <cellStyle name="Hypertextový odkaz" xfId="2975" builtinId="8" hidden="1"/>
    <cellStyle name="Hypertextový odkaz" xfId="2977" builtinId="8" hidden="1"/>
    <cellStyle name="Hypertextový odkaz" xfId="2979" builtinId="8" hidden="1"/>
    <cellStyle name="Hypertextový odkaz" xfId="2981" builtinId="8" hidden="1"/>
    <cellStyle name="Hypertextový odkaz" xfId="2983" builtinId="8" hidden="1"/>
    <cellStyle name="Hypertextový odkaz" xfId="2985" builtinId="8" hidden="1"/>
    <cellStyle name="Hypertextový odkaz" xfId="2987" builtinId="8" hidden="1"/>
    <cellStyle name="Hypertextový odkaz" xfId="2989" builtinId="8" hidden="1"/>
    <cellStyle name="Hypertextový odkaz" xfId="2991" builtinId="8" hidden="1"/>
    <cellStyle name="Hypertextový odkaz" xfId="2994" builtinId="8" hidden="1"/>
    <cellStyle name="Hypertextový odkaz" xfId="2996" builtinId="8" hidden="1"/>
    <cellStyle name="Hypertextový odkaz" xfId="2998" builtinId="8" hidden="1"/>
    <cellStyle name="Hypertextový odkaz" xfId="3000" builtinId="8" hidden="1"/>
    <cellStyle name="Hypertextový odkaz" xfId="3002" builtinId="8" hidden="1"/>
    <cellStyle name="Hypertextový odkaz" xfId="3004" builtinId="8" hidden="1"/>
    <cellStyle name="Hypertextový odkaz" xfId="3006" builtinId="8" hidden="1"/>
    <cellStyle name="Hypertextový odkaz" xfId="3008" builtinId="8" hidden="1"/>
    <cellStyle name="Hypertextový odkaz" xfId="3010" builtinId="8" hidden="1"/>
    <cellStyle name="Hypertextový odkaz" xfId="3012" builtinId="8" hidden="1"/>
    <cellStyle name="Hypertextový odkaz" xfId="3014" builtinId="8" hidden="1"/>
    <cellStyle name="Hypertextový odkaz" xfId="3016" builtinId="8" hidden="1"/>
    <cellStyle name="Hypertextový odkaz" xfId="3018" builtinId="8" hidden="1"/>
    <cellStyle name="Hypertextový odkaz" xfId="3020" builtinId="8" hidden="1"/>
    <cellStyle name="Hypertextový odkaz" xfId="3022" builtinId="8" hidden="1"/>
    <cellStyle name="Hypertextový odkaz" xfId="3024" builtinId="8" hidden="1"/>
    <cellStyle name="Hypertextový odkaz" xfId="3026" builtinId="8" hidden="1"/>
    <cellStyle name="Hypertextový odkaz" xfId="3028" builtinId="8" hidden="1"/>
    <cellStyle name="Hypertextový odkaz" xfId="3030" builtinId="8" hidden="1"/>
    <cellStyle name="Hypertextový odkaz" xfId="3032" builtinId="8" hidden="1"/>
    <cellStyle name="Hypertextový odkaz" xfId="3034" builtinId="8" hidden="1"/>
    <cellStyle name="Hypertextový odkaz" xfId="3036" builtinId="8" hidden="1"/>
    <cellStyle name="Hypertextový odkaz" xfId="3038" builtinId="8" hidden="1"/>
    <cellStyle name="Hypertextový odkaz" xfId="3040" builtinId="8" hidden="1"/>
    <cellStyle name="Hypertextový odkaz" xfId="3042" builtinId="8" hidden="1"/>
    <cellStyle name="Hypertextový odkaz" xfId="3044" builtinId="8" hidden="1"/>
    <cellStyle name="Hypertextový odkaz" xfId="3046" builtinId="8" hidden="1"/>
    <cellStyle name="Hypertextový odkaz" xfId="3048" builtinId="8" hidden="1"/>
    <cellStyle name="Hypertextový odkaz" xfId="3050" builtinId="8" hidden="1"/>
    <cellStyle name="Hypertextový odkaz" xfId="3052" builtinId="8" hidden="1"/>
    <cellStyle name="Hypertextový odkaz" xfId="3054" builtinId="8" hidden="1"/>
    <cellStyle name="Hypertextový odkaz" xfId="3056" builtinId="8" hidden="1"/>
    <cellStyle name="Hypertextový odkaz" xfId="3058" builtinId="8" hidden="1"/>
    <cellStyle name="Hypertextový odkaz" xfId="3060" builtinId="8" hidden="1"/>
    <cellStyle name="Hypertextový odkaz" xfId="3062" builtinId="8" hidden="1"/>
    <cellStyle name="Hypertextový odkaz" xfId="3064" builtinId="8" hidden="1"/>
    <cellStyle name="Hypertextový odkaz" xfId="3066" builtinId="8" hidden="1"/>
    <cellStyle name="Hypertextový odkaz" xfId="3068" builtinId="8" hidden="1"/>
    <cellStyle name="Hypertextový odkaz" xfId="3070" builtinId="8" hidden="1"/>
    <cellStyle name="Hypertextový odkaz" xfId="3072" builtinId="8" hidden="1"/>
    <cellStyle name="Hypertextový odkaz" xfId="3074" builtinId="8" hidden="1"/>
    <cellStyle name="Hypertextový odkaz" xfId="3076" builtinId="8" hidden="1"/>
    <cellStyle name="Hypertextový odkaz" xfId="3078" builtinId="8" hidden="1"/>
    <cellStyle name="Hypertextový odkaz" xfId="3080" builtinId="8" hidden="1"/>
    <cellStyle name="Hypertextový odkaz" xfId="3082" builtinId="8" hidden="1"/>
    <cellStyle name="Hypertextový odkaz" xfId="3084" builtinId="8" hidden="1"/>
    <cellStyle name="Hypertextový odkaz" xfId="3086" builtinId="8" hidden="1"/>
    <cellStyle name="Hypertextový odkaz" xfId="3088" builtinId="8" hidden="1"/>
    <cellStyle name="Hypertextový odkaz" xfId="3090" builtinId="8" hidden="1"/>
    <cellStyle name="Hypertextový odkaz" xfId="3092" builtinId="8" hidden="1"/>
    <cellStyle name="Hypertextový odkaz" xfId="3094" builtinId="8" hidden="1"/>
    <cellStyle name="Hypertextový odkaz" xfId="3096" builtinId="8" hidden="1"/>
    <cellStyle name="Hypertextový odkaz" xfId="3098" builtinId="8" hidden="1"/>
    <cellStyle name="Hypertextový odkaz" xfId="3100" builtinId="8" hidden="1"/>
    <cellStyle name="Hypertextový odkaz" xfId="3102" builtinId="8" hidden="1"/>
    <cellStyle name="Hypertextový odkaz" xfId="3104" builtinId="8" hidden="1"/>
    <cellStyle name="Hypertextový odkaz" xfId="3106" builtinId="8" hidden="1"/>
    <cellStyle name="Hypertextový odkaz" xfId="3108" builtinId="8" hidden="1"/>
    <cellStyle name="Hypertextový odkaz" xfId="3110" builtinId="8" hidden="1"/>
    <cellStyle name="Hypertextový odkaz" xfId="3112" builtinId="8" hidden="1"/>
    <cellStyle name="Hypertextový odkaz" xfId="3114" builtinId="8" hidden="1"/>
    <cellStyle name="Hypertextový odkaz" xfId="3116" builtinId="8" hidden="1"/>
    <cellStyle name="Hypertextový odkaz" xfId="3118" builtinId="8" hidden="1"/>
    <cellStyle name="Hypertextový odkaz" xfId="3120" builtinId="8" hidden="1"/>
    <cellStyle name="Hypertextový odkaz" xfId="3122" builtinId="8" hidden="1"/>
    <cellStyle name="Hypertextový odkaz" xfId="3124" builtinId="8" hidden="1"/>
    <cellStyle name="Hypertextový odkaz" xfId="3126" builtinId="8" hidden="1"/>
    <cellStyle name="Hypertextový odkaz" xfId="3128" builtinId="8" hidden="1"/>
    <cellStyle name="Hypertextový odkaz" xfId="3130" builtinId="8" hidden="1"/>
    <cellStyle name="Hypertextový odkaz" xfId="3132" builtinId="8" hidden="1"/>
    <cellStyle name="Hypertextový odkaz" xfId="3134" builtinId="8" hidden="1"/>
    <cellStyle name="Hypertextový odkaz" xfId="3136" builtinId="8" hidden="1"/>
    <cellStyle name="Hypertextový odkaz" xfId="3138" builtinId="8" hidden="1"/>
    <cellStyle name="Hypertextový odkaz" xfId="3140" builtinId="8" hidden="1"/>
    <cellStyle name="Hypertextový odkaz" xfId="3142" builtinId="8" hidden="1"/>
    <cellStyle name="Hypertextový odkaz" xfId="3144" builtinId="8" hidden="1"/>
    <cellStyle name="Hypertextový odkaz" xfId="3146" builtinId="8" hidden="1"/>
    <cellStyle name="Hypertextový odkaz" xfId="3148" builtinId="8" hidden="1"/>
    <cellStyle name="Hypertextový odkaz" xfId="3150" builtinId="8" hidden="1"/>
    <cellStyle name="Hypertextový odkaz" xfId="3152" builtinId="8" hidden="1"/>
    <cellStyle name="Hypertextový odkaz" xfId="3154" builtinId="8" hidden="1"/>
    <cellStyle name="Hypertextový odkaz" xfId="3156" builtinId="8" hidden="1"/>
    <cellStyle name="Hypertextový odkaz" xfId="3158" builtinId="8" hidden="1"/>
    <cellStyle name="Hypertextový odkaz" xfId="3160" builtinId="8" hidden="1"/>
    <cellStyle name="Hypertextový odkaz" xfId="3162" builtinId="8" hidden="1"/>
    <cellStyle name="Hypertextový odkaz" xfId="3164" builtinId="8" hidden="1"/>
    <cellStyle name="Hypertextový odkaz" xfId="3166" builtinId="8" hidden="1"/>
    <cellStyle name="Hypertextový odkaz" xfId="3168" builtinId="8" hidden="1"/>
    <cellStyle name="Hypertextový odkaz" xfId="3170" builtinId="8" hidden="1"/>
    <cellStyle name="Hypertextový odkaz" xfId="3172" builtinId="8" hidden="1"/>
    <cellStyle name="Hypertextový odkaz" xfId="3174" builtinId="8" hidden="1"/>
    <cellStyle name="Hypertextový odkaz" xfId="3176" builtinId="8" hidden="1"/>
    <cellStyle name="Hypertextový odkaz" xfId="3178" builtinId="8" hidden="1"/>
    <cellStyle name="Hypertextový odkaz" xfId="3180" builtinId="8" hidden="1"/>
    <cellStyle name="Hypertextový odkaz" xfId="3182" builtinId="8" hidden="1"/>
    <cellStyle name="Hypertextový odkaz" xfId="3184" builtinId="8" hidden="1"/>
    <cellStyle name="Hypertextový odkaz" xfId="3186" builtinId="8" hidden="1"/>
    <cellStyle name="Hypertextový odkaz" xfId="3188" builtinId="8" hidden="1"/>
    <cellStyle name="Hypertextový odkaz" xfId="3190" builtinId="8" hidden="1"/>
    <cellStyle name="Hypertextový odkaz" xfId="3192" builtinId="8" hidden="1"/>
    <cellStyle name="Hypertextový odkaz" xfId="3194" builtinId="8" hidden="1"/>
    <cellStyle name="Hypertextový odkaz" xfId="3196" builtinId="8" hidden="1"/>
    <cellStyle name="Hypertextový odkaz" xfId="3198" builtinId="8" hidden="1"/>
    <cellStyle name="Hypertextový odkaz" xfId="3200" builtinId="8" hidden="1"/>
    <cellStyle name="Hypertextový odkaz" xfId="3202" builtinId="8" hidden="1"/>
    <cellStyle name="Hypertextový odkaz" xfId="3204" builtinId="8" hidden="1"/>
    <cellStyle name="Hypertextový odkaz" xfId="3206" builtinId="8" hidden="1"/>
    <cellStyle name="Hypertextový odkaz" xfId="3208" builtinId="8" hidden="1"/>
    <cellStyle name="Hypertextový odkaz" xfId="3210" builtinId="8" hidden="1"/>
    <cellStyle name="Hypertextový odkaz" xfId="3212" builtinId="8" hidden="1"/>
    <cellStyle name="Hypertextový odkaz" xfId="3214" builtinId="8" hidden="1"/>
    <cellStyle name="Hypertextový odkaz" xfId="3216" builtinId="8" hidden="1"/>
    <cellStyle name="Hypertextový odkaz" xfId="3218" builtinId="8" hidden="1"/>
    <cellStyle name="Hypertextový odkaz" xfId="3220" builtinId="8" hidden="1"/>
    <cellStyle name="Hypertextový odkaz" xfId="3222" builtinId="8" hidden="1"/>
    <cellStyle name="Hypertextový odkaz" xfId="3224" builtinId="8" hidden="1"/>
    <cellStyle name="Hypertextový odkaz" xfId="3226" builtinId="8" hidden="1"/>
    <cellStyle name="Hypertextový odkaz" xfId="3228" builtinId="8" hidden="1"/>
    <cellStyle name="Hypertextový odkaz" xfId="3230" builtinId="8" hidden="1"/>
    <cellStyle name="Hypertextový odkaz" xfId="3232" builtinId="8" hidden="1"/>
    <cellStyle name="Hypertextový odkaz" xfId="3234" builtinId="8" hidden="1"/>
    <cellStyle name="Hypertextový odkaz" xfId="3236" builtinId="8" hidden="1"/>
    <cellStyle name="Hypertextový odkaz" xfId="3238" builtinId="8" hidden="1"/>
    <cellStyle name="Hypertextový odkaz" xfId="3240" builtinId="8" hidden="1"/>
    <cellStyle name="Hypertextový odkaz" xfId="3242" builtinId="8" hidden="1"/>
    <cellStyle name="Hypertextový odkaz" xfId="3244" builtinId="8" hidden="1"/>
    <cellStyle name="Hypertextový odkaz" xfId="3246" builtinId="8" hidden="1"/>
    <cellStyle name="Hypertextový odkaz" xfId="3248" builtinId="8" hidden="1"/>
    <cellStyle name="Hypertextový odkaz" xfId="3250" builtinId="8" hidden="1"/>
    <cellStyle name="Hypertextový odkaz" xfId="3252" builtinId="8" hidden="1"/>
    <cellStyle name="Hypertextový odkaz" xfId="3254" builtinId="8" hidden="1"/>
    <cellStyle name="Hypertextový odkaz" xfId="3256" builtinId="8" hidden="1"/>
    <cellStyle name="Hypertextový odkaz" xfId="3258" builtinId="8" hidden="1"/>
    <cellStyle name="Hypertextový odkaz" xfId="3260" builtinId="8" hidden="1"/>
    <cellStyle name="Hypertextový odkaz" xfId="3262" builtinId="8" hidden="1"/>
    <cellStyle name="Hypertextový odkaz" xfId="3264" builtinId="8" hidden="1"/>
    <cellStyle name="Hypertextový odkaz" xfId="3266" builtinId="8" hidden="1"/>
    <cellStyle name="Hypertextový odkaz" xfId="3268" builtinId="8" hidden="1"/>
    <cellStyle name="Hypertextový odkaz" xfId="3270" builtinId="8" hidden="1"/>
    <cellStyle name="Hypertextový odkaz" xfId="3272" builtinId="8" hidden="1"/>
    <cellStyle name="Hypertextový odkaz" xfId="3274" builtinId="8" hidden="1"/>
    <cellStyle name="Hypertextový odkaz" xfId="3276" builtinId="8" hidden="1"/>
    <cellStyle name="Hypertextový odkaz" xfId="3278" builtinId="8" hidden="1"/>
    <cellStyle name="Hypertextový odkaz" xfId="3280" builtinId="8" hidden="1"/>
    <cellStyle name="Hypertextový odkaz" xfId="3282" builtinId="8" hidden="1"/>
    <cellStyle name="Hypertextový odkaz" xfId="3284" builtinId="8" hidden="1"/>
    <cellStyle name="Hypertextový odkaz" xfId="3286" builtinId="8" hidden="1"/>
    <cellStyle name="Hypertextový odkaz" xfId="3288" builtinId="8" hidden="1"/>
    <cellStyle name="Hypertextový odkaz" xfId="3290" builtinId="8" hidden="1"/>
    <cellStyle name="Hypertextový odkaz" xfId="3292" builtinId="8" hidden="1"/>
    <cellStyle name="Hypertextový odkaz" xfId="3294" builtinId="8" hidden="1"/>
    <cellStyle name="Hypertextový odkaz" xfId="3296" builtinId="8" hidden="1"/>
    <cellStyle name="Hypertextový odkaz" xfId="3298" builtinId="8" hidden="1"/>
    <cellStyle name="Hypertextový odkaz" xfId="3300" builtinId="8" hidden="1"/>
    <cellStyle name="Hypertextový odkaz" xfId="3302" builtinId="8" hidden="1"/>
    <cellStyle name="Hypertextový odkaz" xfId="3304" builtinId="8" hidden="1"/>
    <cellStyle name="Hypertextový odkaz" xfId="3306" builtinId="8" hidden="1"/>
    <cellStyle name="Hypertextový odkaz" xfId="3308" builtinId="8" hidden="1"/>
    <cellStyle name="Hypertextový odkaz" xfId="3310" builtinId="8" hidden="1"/>
    <cellStyle name="Hypertextový odkaz" xfId="3312" builtinId="8" hidden="1"/>
    <cellStyle name="Hypertextový odkaz" xfId="3314" builtinId="8" hidden="1"/>
    <cellStyle name="Hypertextový odkaz" xfId="3316" builtinId="8" hidden="1"/>
    <cellStyle name="Hypertextový odkaz" xfId="3318" builtinId="8" hidden="1"/>
    <cellStyle name="Hypertextový odkaz" xfId="3320" builtinId="8" hidden="1"/>
    <cellStyle name="Hypertextový odkaz" xfId="3322" builtinId="8" hidden="1"/>
    <cellStyle name="Hypertextový odkaz" xfId="3324" builtinId="8" hidden="1"/>
    <cellStyle name="Hypertextový odkaz" xfId="3326" builtinId="8" hidden="1"/>
    <cellStyle name="Hypertextový odkaz" xfId="3328" builtinId="8" hidden="1"/>
    <cellStyle name="Hypertextový odkaz" xfId="3330" builtinId="8" hidden="1"/>
    <cellStyle name="Hypertextový odkaz" xfId="3332" builtinId="8" hidden="1"/>
    <cellStyle name="Hypertextový odkaz" xfId="3334" builtinId="8" hidden="1"/>
    <cellStyle name="Hypertextový odkaz" xfId="3336" builtinId="8" hidden="1"/>
    <cellStyle name="Hypertextový odkaz" xfId="3338" builtinId="8" hidden="1"/>
    <cellStyle name="Hypertextový odkaz" xfId="3340" builtinId="8" hidden="1"/>
    <cellStyle name="Hypertextový odkaz" xfId="3342" builtinId="8" hidden="1"/>
    <cellStyle name="Hypertextový odkaz" xfId="3344" builtinId="8" hidden="1"/>
    <cellStyle name="Hypertextový odkaz" xfId="3346" builtinId="8" hidden="1"/>
    <cellStyle name="Hypertextový odkaz" xfId="3348" builtinId="8" hidden="1"/>
    <cellStyle name="Hypertextový odkaz" xfId="3350" builtinId="8" hidden="1"/>
    <cellStyle name="Hypertextový odkaz" xfId="3352" builtinId="8" hidden="1"/>
    <cellStyle name="Hypertextový odkaz" xfId="3354" builtinId="8" hidden="1"/>
    <cellStyle name="Hypertextový odkaz" xfId="3356" builtinId="8" hidden="1"/>
    <cellStyle name="Hypertextový odkaz" xfId="3358" builtinId="8" hidden="1"/>
    <cellStyle name="Hypertextový odkaz" xfId="3360" builtinId="8" hidden="1"/>
    <cellStyle name="Hypertextový odkaz" xfId="3362" builtinId="8" hidden="1"/>
    <cellStyle name="Hypertextový odkaz" xfId="3364" builtinId="8" hidden="1"/>
    <cellStyle name="Hypertextový odkaz" xfId="3366" builtinId="8" hidden="1"/>
    <cellStyle name="Hypertextový odkaz" xfId="3368" builtinId="8" hidden="1"/>
    <cellStyle name="Hypertextový odkaz" xfId="3370" builtinId="8" hidden="1"/>
    <cellStyle name="Hypertextový odkaz" xfId="3372" builtinId="8" hidden="1"/>
    <cellStyle name="Hypertextový odkaz" xfId="3374" builtinId="8" hidden="1"/>
    <cellStyle name="Hypertextový odkaz" xfId="3376" builtinId="8" hidden="1"/>
    <cellStyle name="Hypertextový odkaz" xfId="3378" builtinId="8" hidden="1"/>
    <cellStyle name="Hypertextový odkaz" xfId="3380" builtinId="8" hidden="1"/>
    <cellStyle name="Hypertextový odkaz" xfId="3382" builtinId="8" hidden="1"/>
    <cellStyle name="Hypertextový odkaz" xfId="3384" builtinId="8" hidden="1"/>
    <cellStyle name="Hypertextový odkaz" xfId="3386" builtinId="8" hidden="1"/>
    <cellStyle name="Hypertextový odkaz" xfId="3388" builtinId="8" hidden="1"/>
    <cellStyle name="Hypertextový odkaz" xfId="3390" builtinId="8" hidden="1"/>
    <cellStyle name="Hypertextový odkaz" xfId="3392" builtinId="8" hidden="1"/>
    <cellStyle name="Hypertextový odkaz" xfId="3394" builtinId="8" hidden="1"/>
    <cellStyle name="Hypertextový odkaz" xfId="3396" builtinId="8" hidden="1"/>
    <cellStyle name="Hypertextový odkaz" xfId="3398" builtinId="8" hidden="1"/>
    <cellStyle name="Hypertextový odkaz" xfId="3400" builtinId="8" hidden="1"/>
    <cellStyle name="Hypertextový odkaz" xfId="3402" builtinId="8" hidden="1"/>
    <cellStyle name="Hypertextový odkaz" xfId="3404" builtinId="8" hidden="1"/>
    <cellStyle name="Hypertextový odkaz" xfId="3406" builtinId="8" hidden="1"/>
    <cellStyle name="Hypertextový odkaz" xfId="3408" builtinId="8" hidden="1"/>
    <cellStyle name="Hypertextový odkaz" xfId="3410" builtinId="8" hidden="1"/>
    <cellStyle name="Hypertextový odkaz" xfId="3412" builtinId="8" hidden="1"/>
    <cellStyle name="Hypertextový odkaz" xfId="3414" builtinId="8" hidden="1"/>
    <cellStyle name="Hypertextový odkaz" xfId="3416" builtinId="8" hidden="1"/>
    <cellStyle name="Hypertextový odkaz" xfId="3418" builtinId="8" hidden="1"/>
    <cellStyle name="Hypertextový odkaz" xfId="3420" builtinId="8" hidden="1"/>
    <cellStyle name="Hypertextový odkaz" xfId="3422" builtinId="8" hidden="1"/>
    <cellStyle name="Hypertextový odkaz" xfId="3424" builtinId="8" hidden="1"/>
    <cellStyle name="Hypertextový odkaz" xfId="3426" builtinId="8" hidden="1"/>
    <cellStyle name="Hypertextový odkaz" xfId="3428" builtinId="8" hidden="1"/>
    <cellStyle name="Hypertextový odkaz" xfId="3430" builtinId="8" hidden="1"/>
    <cellStyle name="Hypertextový odkaz" xfId="3432" builtinId="8" hidden="1"/>
    <cellStyle name="Hypertextový odkaz" xfId="3434" builtinId="8" hidden="1"/>
    <cellStyle name="Hypertextový odkaz" xfId="3436" builtinId="8" hidden="1"/>
    <cellStyle name="Hypertextový odkaz" xfId="3438" builtinId="8" hidden="1"/>
    <cellStyle name="Hypertextový odkaz" xfId="3440" builtinId="8" hidden="1"/>
    <cellStyle name="Hypertextový odkaz" xfId="3442" builtinId="8" hidden="1"/>
    <cellStyle name="Hypertextový odkaz" xfId="3444" builtinId="8" hidden="1"/>
    <cellStyle name="Hypertextový odkaz" xfId="3446" builtinId="8" hidden="1"/>
    <cellStyle name="Hypertextový odkaz" xfId="3448" builtinId="8" hidden="1"/>
    <cellStyle name="Hypertextový odkaz" xfId="3450" builtinId="8" hidden="1"/>
    <cellStyle name="Hypertextový odkaz" xfId="3452" builtinId="8" hidden="1"/>
    <cellStyle name="Hypertextový odkaz" xfId="3454" builtinId="8" hidden="1"/>
    <cellStyle name="Hypertextový odkaz" xfId="3456" builtinId="8" hidden="1"/>
    <cellStyle name="Hypertextový odkaz" xfId="3458" builtinId="8" hidden="1"/>
    <cellStyle name="Hypertextový odkaz" xfId="3460" builtinId="8" hidden="1"/>
    <cellStyle name="Hypertextový odkaz" xfId="3462" builtinId="8" hidden="1"/>
    <cellStyle name="Hypertextový odkaz" xfId="3464" builtinId="8" hidden="1"/>
    <cellStyle name="Hypertextový odkaz" xfId="3466" builtinId="8" hidden="1"/>
    <cellStyle name="Hypertextový odkaz" xfId="3468" builtinId="8" hidden="1"/>
    <cellStyle name="Hypertextový odkaz" xfId="3470" builtinId="8" hidden="1"/>
    <cellStyle name="Hypertextový odkaz" xfId="3472" builtinId="8" hidden="1"/>
    <cellStyle name="Hypertextový odkaz" xfId="3474" builtinId="8" hidden="1"/>
    <cellStyle name="Hypertextový odkaz" xfId="3476" builtinId="8" hidden="1"/>
    <cellStyle name="Hypertextový odkaz" xfId="3478" builtinId="8" hidden="1"/>
    <cellStyle name="Hypertextový odkaz" xfId="3480" builtinId="8" hidden="1"/>
    <cellStyle name="Hypertextový odkaz" xfId="3482" builtinId="8" hidden="1"/>
    <cellStyle name="Hypertextový odkaz" xfId="3484" builtinId="8" hidden="1"/>
    <cellStyle name="Hypertextový odkaz" xfId="3486" builtinId="8" hidden="1"/>
    <cellStyle name="Hypertextový odkaz" xfId="3488" builtinId="8" hidden="1"/>
    <cellStyle name="Hypertextový odkaz" xfId="3490" builtinId="8" hidden="1"/>
    <cellStyle name="Hypertextový odkaz" xfId="3492" builtinId="8" hidden="1"/>
    <cellStyle name="Hypertextový odkaz" xfId="3494" builtinId="8" hidden="1"/>
    <cellStyle name="Hypertextový odkaz" xfId="3496" builtinId="8" hidden="1"/>
    <cellStyle name="Hypertextový odkaz" xfId="3498" builtinId="8" hidden="1"/>
    <cellStyle name="Hypertextový odkaz" xfId="3503" builtinId="8" hidden="1"/>
    <cellStyle name="Hypertextový odkaz" xfId="3505" builtinId="8" hidden="1"/>
    <cellStyle name="Hypertextový odkaz" xfId="3507" builtinId="8" hidden="1"/>
    <cellStyle name="Hypertextový odkaz" xfId="3509" builtinId="8" hidden="1"/>
    <cellStyle name="Hypertextový odkaz" xfId="3511" builtinId="8" hidden="1"/>
    <cellStyle name="Hypertextový odkaz" xfId="3513" builtinId="8" hidden="1"/>
    <cellStyle name="Hypertextový odkaz" xfId="3515" builtinId="8" hidden="1"/>
    <cellStyle name="Hypertextový odkaz" xfId="3517" builtinId="8" hidden="1"/>
    <cellStyle name="Hypertextový odkaz" xfId="3519" builtinId="8" hidden="1"/>
    <cellStyle name="Hypertextový odkaz" xfId="3521" builtinId="8" hidden="1"/>
    <cellStyle name="Hypertextový odkaz" xfId="3523" builtinId="8" hidden="1"/>
    <cellStyle name="Hypertextový odkaz" xfId="3525" builtinId="8" hidden="1"/>
    <cellStyle name="Hypertextový odkaz" xfId="3527" builtinId="8" hidden="1"/>
    <cellStyle name="Hypertextový odkaz" xfId="3529" builtinId="8" hidden="1"/>
    <cellStyle name="Hypertextový odkaz" xfId="3531" builtinId="8" hidden="1"/>
    <cellStyle name="Hypertextový odkaz" xfId="3533" builtinId="8" hidden="1"/>
    <cellStyle name="Hypertextový odkaz" xfId="3535" builtinId="8" hidden="1"/>
    <cellStyle name="Hypertextový odkaz" xfId="3537" builtinId="8" hidden="1"/>
    <cellStyle name="Hypertextový odkaz" xfId="3539" builtinId="8" hidden="1"/>
    <cellStyle name="Hypertextový odkaz" xfId="3541" builtinId="8" hidden="1"/>
    <cellStyle name="Hypertextový odkaz" xfId="3543" builtinId="8" hidden="1"/>
    <cellStyle name="Hypertextový odkaz" xfId="3545" builtinId="8" hidden="1"/>
    <cellStyle name="Hypertextový odkaz" xfId="3547" builtinId="8" hidden="1"/>
    <cellStyle name="Hypertextový odkaz" xfId="3549" builtinId="8" hidden="1"/>
    <cellStyle name="Hypertextový odkaz" xfId="3551" builtinId="8" hidden="1"/>
    <cellStyle name="Hypertextový odkaz" xfId="3553" builtinId="8" hidden="1"/>
    <cellStyle name="Chybně 2" xfId="708"/>
    <cellStyle name="Kontrolní buňka 2" xfId="710"/>
    <cellStyle name="Nadpis 1 2" xfId="711"/>
    <cellStyle name="Nadpis 2 2" xfId="712"/>
    <cellStyle name="Nadpis 3 2" xfId="713"/>
    <cellStyle name="Nadpis 4 2" xfId="714"/>
    <cellStyle name="Název 2" xfId="715"/>
    <cellStyle name="Neutrální 2" xfId="716"/>
    <cellStyle name="Normal 2" xfId="1"/>
    <cellStyle name="Normal 2 2" xfId="686"/>
    <cellStyle name="Normal 2 2 2" xfId="2966"/>
    <cellStyle name="Normal 2 2_ 2022" xfId="3501"/>
    <cellStyle name="Normal 2_ 2022" xfId="3500"/>
    <cellStyle name="Normal 3" xfId="4"/>
    <cellStyle name="Normal 4" xfId="332"/>
    <cellStyle name="Normal 4 2" xfId="687"/>
    <cellStyle name="Normal 4 2_IT" xfId="2599"/>
    <cellStyle name="Normal 6" xfId="717"/>
    <cellStyle name="Normal_Trend" xfId="1284"/>
    <cellStyle name="normálne 2" xfId="718"/>
    <cellStyle name="Normální" xfId="0" builtinId="0"/>
    <cellStyle name="Normální 2" xfId="7"/>
    <cellStyle name="normální 2 2" xfId="719"/>
    <cellStyle name="Normální 2_ 2022" xfId="3502"/>
    <cellStyle name="normální 3" xfId="720"/>
    <cellStyle name="Normální 4" xfId="721"/>
    <cellStyle name="Normální 5" xfId="722"/>
    <cellStyle name="Percent 2" xfId="3"/>
    <cellStyle name="Percent 2 2" xfId="688"/>
    <cellStyle name="Percent 3" xfId="5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2" builtinId="9" hidden="1"/>
    <cellStyle name="Použitý hypertextový odkaz" xfId="174" builtinId="9" hidden="1"/>
    <cellStyle name="Použitý hypertextový odkaz" xfId="176" builtinId="9" hidden="1"/>
    <cellStyle name="Použitý hypertextový odkaz" xfId="178" builtinId="9" hidden="1"/>
    <cellStyle name="Použitý hypertextový odkaz" xfId="180" builtinId="9" hidden="1"/>
    <cellStyle name="Použitý hypertextový odkaz" xfId="182" builtinId="9" hidden="1"/>
    <cellStyle name="Použitý hypertextový odkaz" xfId="184" builtinId="9" hidden="1"/>
    <cellStyle name="Použitý hypertextový odkaz" xfId="186" builtinId="9" hidden="1"/>
    <cellStyle name="Použitý hypertextový odkaz" xfId="188" builtinId="9" hidden="1"/>
    <cellStyle name="Použitý hypertextový odkaz" xfId="190" builtinId="9" hidden="1"/>
    <cellStyle name="Použitý hypertextový odkaz" xfId="192" builtinId="9" hidden="1"/>
    <cellStyle name="Použitý hypertextový odkaz" xfId="194" builtinId="9" hidden="1"/>
    <cellStyle name="Použitý hypertextový odkaz" xfId="196" builtinId="9" hidden="1"/>
    <cellStyle name="Použitý hypertextový odkaz" xfId="198" builtinId="9" hidden="1"/>
    <cellStyle name="Použitý hypertextový odkaz" xfId="200" builtinId="9" hidden="1"/>
    <cellStyle name="Použitý hypertextový odkaz" xfId="202" builtinId="9" hidden="1"/>
    <cellStyle name="Použitý hypertextový odkaz" xfId="204" builtinId="9" hidden="1"/>
    <cellStyle name="Použitý hypertextový odkaz" xfId="206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oužitý hypertextový odkaz" xfId="223" builtinId="9" hidden="1"/>
    <cellStyle name="Použitý hypertextový odkaz" xfId="225" builtinId="9" hidden="1"/>
    <cellStyle name="Použitý hypertextový odkaz" xfId="227" builtinId="9" hidden="1"/>
    <cellStyle name="Použitý hypertextový odkaz" xfId="229" builtinId="9" hidden="1"/>
    <cellStyle name="Použitý hypertextový odkaz" xfId="231" builtinId="9" hidden="1"/>
    <cellStyle name="Použitý hypertextový odkaz" xfId="233" builtinId="9" hidden="1"/>
    <cellStyle name="Použitý hypertextový odkaz" xfId="235" builtinId="9" hidden="1"/>
    <cellStyle name="Použitý hypertextový odkaz" xfId="237" builtinId="9" hidden="1"/>
    <cellStyle name="Použitý hypertextový odkaz" xfId="239" builtinId="9" hidden="1"/>
    <cellStyle name="Použitý hypertextový odkaz" xfId="241" builtinId="9" hidden="1"/>
    <cellStyle name="Použitý hypertextový odkaz" xfId="243" builtinId="9" hidden="1"/>
    <cellStyle name="Použitý hypertextový odkaz" xfId="245" builtinId="9" hidden="1"/>
    <cellStyle name="Použitý hypertextový odkaz" xfId="247" builtinId="9" hidden="1"/>
    <cellStyle name="Použitý hypertextový odkaz" xfId="249" builtinId="9" hidden="1"/>
    <cellStyle name="Použitý hypertextový odkaz" xfId="251" builtinId="9" hidden="1"/>
    <cellStyle name="Použitý hypertextový odkaz" xfId="253" builtinId="9" hidden="1"/>
    <cellStyle name="Použitý hypertextový odkaz" xfId="255" builtinId="9" hidden="1"/>
    <cellStyle name="Použitý hypertextový odkaz" xfId="257" builtinId="9" hidden="1"/>
    <cellStyle name="Použitý hypertextový odkaz" xfId="259" builtinId="9" hidden="1"/>
    <cellStyle name="Použitý hypertextový odkaz" xfId="261" builtinId="9" hidden="1"/>
    <cellStyle name="Použitý hypertextový odkaz" xfId="263" builtinId="9" hidden="1"/>
    <cellStyle name="Použitý hypertextový odkaz" xfId="265" builtinId="9" hidden="1"/>
    <cellStyle name="Použitý hypertextový odkaz" xfId="267" builtinId="9" hidden="1"/>
    <cellStyle name="Použitý hypertextový odkaz" xfId="269" builtinId="9" hidden="1"/>
    <cellStyle name="Použitý hypertextový odkaz" xfId="271" builtinId="9" hidden="1"/>
    <cellStyle name="Použitý hypertextový odkaz" xfId="273" builtinId="9" hidden="1"/>
    <cellStyle name="Použitý hypertextový odkaz" xfId="275" builtinId="9" hidden="1"/>
    <cellStyle name="Použitý hypertextový odkaz" xfId="277" builtinId="9" hidden="1"/>
    <cellStyle name="Použitý hypertextový odkaz" xfId="279" builtinId="9" hidden="1"/>
    <cellStyle name="Použitý hypertextový odkaz" xfId="281" builtinId="9" hidden="1"/>
    <cellStyle name="Použitý hypertextový odkaz" xfId="283" builtinId="9" hidden="1"/>
    <cellStyle name="Použitý hypertextový odkaz" xfId="285" builtinId="9" hidden="1"/>
    <cellStyle name="Použitý hypertextový odkaz" xfId="287" builtinId="9" hidden="1"/>
    <cellStyle name="Použitý hypertextový odkaz" xfId="289" builtinId="9" hidden="1"/>
    <cellStyle name="Použitý hypertextový odkaz" xfId="291" builtinId="9" hidden="1"/>
    <cellStyle name="Použitý hypertextový odkaz" xfId="293" builtinId="9" hidden="1"/>
    <cellStyle name="Použitý hypertextový odkaz" xfId="295" builtinId="9" hidden="1"/>
    <cellStyle name="Použitý hypertextový odkaz" xfId="297" builtinId="9" hidden="1"/>
    <cellStyle name="Použitý hypertextový odkaz" xfId="299" builtinId="9" hidden="1"/>
    <cellStyle name="Použitý hypertextový odkaz" xfId="301" builtinId="9" hidden="1"/>
    <cellStyle name="Použitý hypertextový odkaz" xfId="303" builtinId="9" hidden="1"/>
    <cellStyle name="Použitý hypertextový odkaz" xfId="305" builtinId="9" hidden="1"/>
    <cellStyle name="Použitý hypertextový odkaz" xfId="307" builtinId="9" hidden="1"/>
    <cellStyle name="Použitý hypertextový odkaz" xfId="309" builtinId="9" hidden="1"/>
    <cellStyle name="Použitý hypertextový odkaz" xfId="311" builtinId="9" hidden="1"/>
    <cellStyle name="Použitý hypertextový odkaz" xfId="313" builtinId="9" hidden="1"/>
    <cellStyle name="Použitý hypertextový odkaz" xfId="315" builtinId="9" hidden="1"/>
    <cellStyle name="Použitý hypertextový odkaz" xfId="317" builtinId="9" hidden="1"/>
    <cellStyle name="Použitý hypertextový odkaz" xfId="319" builtinId="9" hidden="1"/>
    <cellStyle name="Použitý hypertextový odkaz" xfId="321" builtinId="9" hidden="1"/>
    <cellStyle name="Použitý hypertextový odkaz" xfId="323" builtinId="9" hidden="1"/>
    <cellStyle name="Použitý hypertextový odkaz" xfId="325" builtinId="9" hidden="1"/>
    <cellStyle name="Použitý hypertextový odkaz" xfId="327" builtinId="9" hidden="1"/>
    <cellStyle name="Použitý hypertextový odkaz" xfId="329" builtinId="9" hidden="1"/>
    <cellStyle name="Použitý hypertextový odkaz" xfId="331" builtinId="9" hidden="1"/>
    <cellStyle name="Použitý hypertextový odkaz" xfId="334" builtinId="9" hidden="1"/>
    <cellStyle name="Použitý hypertextový odkaz" xfId="336" builtinId="9" hidden="1"/>
    <cellStyle name="Použitý hypertextový odkaz" xfId="338" builtinId="9" hidden="1"/>
    <cellStyle name="Použitý hypertextový odkaz" xfId="340" builtinId="9" hidden="1"/>
    <cellStyle name="Použitý hypertextový odkaz" xfId="342" builtinId="9" hidden="1"/>
    <cellStyle name="Použitý hypertextový odkaz" xfId="344" builtinId="9" hidden="1"/>
    <cellStyle name="Použitý hypertextový odkaz" xfId="346" builtinId="9" hidden="1"/>
    <cellStyle name="Použitý hypertextový odkaz" xfId="348" builtinId="9" hidden="1"/>
    <cellStyle name="Použitý hypertextový odkaz" xfId="350" builtinId="9" hidden="1"/>
    <cellStyle name="Použitý hypertextový odkaz" xfId="352" builtinId="9" hidden="1"/>
    <cellStyle name="Použitý hypertextový odkaz" xfId="354" builtinId="9" hidden="1"/>
    <cellStyle name="Použitý hypertextový odkaz" xfId="356" builtinId="9" hidden="1"/>
    <cellStyle name="Použitý hypertextový odkaz" xfId="358" builtinId="9" hidden="1"/>
    <cellStyle name="Použitý hypertextový odkaz" xfId="360" builtinId="9" hidden="1"/>
    <cellStyle name="Použitý hypertextový odkaz" xfId="362" builtinId="9" hidden="1"/>
    <cellStyle name="Použitý hypertextový odkaz" xfId="364" builtinId="9" hidden="1"/>
    <cellStyle name="Použitý hypertextový odkaz" xfId="366" builtinId="9" hidden="1"/>
    <cellStyle name="Použitý hypertextový odkaz" xfId="368" builtinId="9" hidden="1"/>
    <cellStyle name="Použitý hypertextový odkaz" xfId="370" builtinId="9" hidden="1"/>
    <cellStyle name="Použitý hypertextový odkaz" xfId="372" builtinId="9" hidden="1"/>
    <cellStyle name="Použitý hypertextový odkaz" xfId="374" builtinId="9" hidden="1"/>
    <cellStyle name="Použitý hypertextový odkaz" xfId="376" builtinId="9" hidden="1"/>
    <cellStyle name="Použitý hypertextový odkaz" xfId="378" builtinId="9" hidden="1"/>
    <cellStyle name="Použitý hypertextový odkaz" xfId="380" builtinId="9" hidden="1"/>
    <cellStyle name="Použitý hypertextový odkaz" xfId="382" builtinId="9" hidden="1"/>
    <cellStyle name="Použitý hypertextový odkaz" xfId="384" builtinId="9" hidden="1"/>
    <cellStyle name="Použitý hypertextový odkaz" xfId="386" builtinId="9" hidden="1"/>
    <cellStyle name="Použitý hypertextový odkaz" xfId="388" builtinId="9" hidden="1"/>
    <cellStyle name="Použitý hypertextový odkaz" xfId="390" builtinId="9" hidden="1"/>
    <cellStyle name="Použitý hypertextový odkaz" xfId="392" builtinId="9" hidden="1"/>
    <cellStyle name="Použitý hypertextový odkaz" xfId="394" builtinId="9" hidden="1"/>
    <cellStyle name="Použitý hypertextový odkaz" xfId="396" builtinId="9" hidden="1"/>
    <cellStyle name="Použitý hypertextový odkaz" xfId="398" builtinId="9" hidden="1"/>
    <cellStyle name="Použitý hypertextový odkaz" xfId="400" builtinId="9" hidden="1"/>
    <cellStyle name="Použitý hypertextový odkaz" xfId="402" builtinId="9" hidden="1"/>
    <cellStyle name="Použitý hypertextový odkaz" xfId="404" builtinId="9" hidden="1"/>
    <cellStyle name="Použitý hypertextový odkaz" xfId="406" builtinId="9" hidden="1"/>
    <cellStyle name="Použitý hypertextový odkaz" xfId="408" builtinId="9" hidden="1"/>
    <cellStyle name="Použitý hypertextový odkaz" xfId="410" builtinId="9" hidden="1"/>
    <cellStyle name="Použitý hypertextový odkaz" xfId="412" builtinId="9" hidden="1"/>
    <cellStyle name="Použitý hypertextový odkaz" xfId="414" builtinId="9" hidden="1"/>
    <cellStyle name="Použitý hypertextový odkaz" xfId="416" builtinId="9" hidden="1"/>
    <cellStyle name="Použitý hypertextový odkaz" xfId="418" builtinId="9" hidden="1"/>
    <cellStyle name="Použitý hypertextový odkaz" xfId="420" builtinId="9" hidden="1"/>
    <cellStyle name="Použitý hypertextový odkaz" xfId="422" builtinId="9" hidden="1"/>
    <cellStyle name="Použitý hypertextový odkaz" xfId="424" builtinId="9" hidden="1"/>
    <cellStyle name="Použitý hypertextový odkaz" xfId="426" builtinId="9" hidden="1"/>
    <cellStyle name="Použitý hypertextový odkaz" xfId="428" builtinId="9" hidden="1"/>
    <cellStyle name="Použitý hypertextový odkaz" xfId="430" builtinId="9" hidden="1"/>
    <cellStyle name="Použitý hypertextový odkaz" xfId="432" builtinId="9" hidden="1"/>
    <cellStyle name="Použitý hypertextový odkaz" xfId="434" builtinId="9" hidden="1"/>
    <cellStyle name="Použitý hypertextový odkaz" xfId="436" builtinId="9" hidden="1"/>
    <cellStyle name="Použitý hypertextový odkaz" xfId="438" builtinId="9" hidden="1"/>
    <cellStyle name="Použitý hypertextový odkaz" xfId="440" builtinId="9" hidden="1"/>
    <cellStyle name="Použitý hypertextový odkaz" xfId="442" builtinId="9" hidden="1"/>
    <cellStyle name="Použitý hypertextový odkaz" xfId="444" builtinId="9" hidden="1"/>
    <cellStyle name="Použitý hypertextový odkaz" xfId="446" builtinId="9" hidden="1"/>
    <cellStyle name="Použitý hypertextový odkaz" xfId="448" builtinId="9" hidden="1"/>
    <cellStyle name="Použitý hypertextový odkaz" xfId="450" builtinId="9" hidden="1"/>
    <cellStyle name="Použitý hypertextový odkaz" xfId="452" builtinId="9" hidden="1"/>
    <cellStyle name="Použitý hypertextový odkaz" xfId="454" builtinId="9" hidden="1"/>
    <cellStyle name="Použitý hypertextový odkaz" xfId="456" builtinId="9" hidden="1"/>
    <cellStyle name="Použitý hypertextový odkaz" xfId="458" builtinId="9" hidden="1"/>
    <cellStyle name="Použitý hypertextový odkaz" xfId="460" builtinId="9" hidden="1"/>
    <cellStyle name="Použitý hypertextový odkaz" xfId="462" builtinId="9" hidden="1"/>
    <cellStyle name="Použitý hypertextový odkaz" xfId="464" builtinId="9" hidden="1"/>
    <cellStyle name="Použitý hypertextový odkaz" xfId="466" builtinId="9" hidden="1"/>
    <cellStyle name="Použitý hypertextový odkaz" xfId="468" builtinId="9" hidden="1"/>
    <cellStyle name="Použitý hypertextový odkaz" xfId="470" builtinId="9" hidden="1"/>
    <cellStyle name="Použitý hypertextový odkaz" xfId="472" builtinId="9" hidden="1"/>
    <cellStyle name="Použitý hypertextový odkaz" xfId="474" builtinId="9" hidden="1"/>
    <cellStyle name="Použitý hypertextový odkaz" xfId="476" builtinId="9" hidden="1"/>
    <cellStyle name="Použitý hypertextový odkaz" xfId="478" builtinId="9" hidden="1"/>
    <cellStyle name="Použitý hypertextový odkaz" xfId="480" builtinId="9" hidden="1"/>
    <cellStyle name="Použitý hypertextový odkaz" xfId="482" builtinId="9" hidden="1"/>
    <cellStyle name="Použitý hypertextový odkaz" xfId="484" builtinId="9" hidden="1"/>
    <cellStyle name="Použitý hypertextový odkaz" xfId="486" builtinId="9" hidden="1"/>
    <cellStyle name="Použitý hypertextový odkaz" xfId="488" builtinId="9" hidden="1"/>
    <cellStyle name="Použitý hypertextový odkaz" xfId="490" builtinId="9" hidden="1"/>
    <cellStyle name="Použitý hypertextový odkaz" xfId="492" builtinId="9" hidden="1"/>
    <cellStyle name="Použitý hypertextový odkaz" xfId="494" builtinId="9" hidden="1"/>
    <cellStyle name="Použitý hypertextový odkaz" xfId="496" builtinId="9" hidden="1"/>
    <cellStyle name="Použitý hypertextový odkaz" xfId="498" builtinId="9" hidden="1"/>
    <cellStyle name="Použitý hypertextový odkaz" xfId="500" builtinId="9" hidden="1"/>
    <cellStyle name="Použitý hypertextový odkaz" xfId="502" builtinId="9" hidden="1"/>
    <cellStyle name="Použitý hypertextový odkaz" xfId="504" builtinId="9" hidden="1"/>
    <cellStyle name="Použitý hypertextový odkaz" xfId="506" builtinId="9" hidden="1"/>
    <cellStyle name="Použitý hypertextový odkaz" xfId="508" builtinId="9" hidden="1"/>
    <cellStyle name="Použitý hypertextový odkaz" xfId="510" builtinId="9" hidden="1"/>
    <cellStyle name="Použitý hypertextový odkaz" xfId="512" builtinId="9" hidden="1"/>
    <cellStyle name="Použitý hypertextový odkaz" xfId="514" builtinId="9" hidden="1"/>
    <cellStyle name="Použitý hypertextový odkaz" xfId="516" builtinId="9" hidden="1"/>
    <cellStyle name="Použitý hypertextový odkaz" xfId="518" builtinId="9" hidden="1"/>
    <cellStyle name="Použitý hypertextový odkaz" xfId="520" builtinId="9" hidden="1"/>
    <cellStyle name="Použitý hypertextový odkaz" xfId="522" builtinId="9" hidden="1"/>
    <cellStyle name="Použitý hypertextový odkaz" xfId="524" builtinId="9" hidden="1"/>
    <cellStyle name="Použitý hypertextový odkaz" xfId="526" builtinId="9" hidden="1"/>
    <cellStyle name="Použitý hypertextový odkaz" xfId="528" builtinId="9" hidden="1"/>
    <cellStyle name="Použitý hypertextový odkaz" xfId="530" builtinId="9" hidden="1"/>
    <cellStyle name="Použitý hypertextový odkaz" xfId="532" builtinId="9" hidden="1"/>
    <cellStyle name="Použitý hypertextový odkaz" xfId="534" builtinId="9" hidden="1"/>
    <cellStyle name="Použitý hypertextový odkaz" xfId="536" builtinId="9" hidden="1"/>
    <cellStyle name="Použitý hypertextový odkaz" xfId="538" builtinId="9" hidden="1"/>
    <cellStyle name="Použitý hypertextový odkaz" xfId="540" builtinId="9" hidden="1"/>
    <cellStyle name="Použitý hypertextový odkaz" xfId="542" builtinId="9" hidden="1"/>
    <cellStyle name="Použitý hypertextový odkaz" xfId="544" builtinId="9" hidden="1"/>
    <cellStyle name="Použitý hypertextový odkaz" xfId="546" builtinId="9" hidden="1"/>
    <cellStyle name="Použitý hypertextový odkaz" xfId="548" builtinId="9" hidden="1"/>
    <cellStyle name="Použitý hypertextový odkaz" xfId="550" builtinId="9" hidden="1"/>
    <cellStyle name="Použitý hypertextový odkaz" xfId="552" builtinId="9" hidden="1"/>
    <cellStyle name="Použitý hypertextový odkaz" xfId="554" builtinId="9" hidden="1"/>
    <cellStyle name="Použitý hypertextový odkaz" xfId="556" builtinId="9" hidden="1"/>
    <cellStyle name="Použitý hypertextový odkaz" xfId="558" builtinId="9" hidden="1"/>
    <cellStyle name="Použitý hypertextový odkaz" xfId="560" builtinId="9" hidden="1"/>
    <cellStyle name="Použitý hypertextový odkaz" xfId="562" builtinId="9" hidden="1"/>
    <cellStyle name="Použitý hypertextový odkaz" xfId="564" builtinId="9" hidden="1"/>
    <cellStyle name="Použitý hypertextový odkaz" xfId="566" builtinId="9" hidden="1"/>
    <cellStyle name="Použitý hypertextový odkaz" xfId="568" builtinId="9" hidden="1"/>
    <cellStyle name="Použitý hypertextový odkaz" xfId="570" builtinId="9" hidden="1"/>
    <cellStyle name="Použitý hypertextový odkaz" xfId="572" builtinId="9" hidden="1"/>
    <cellStyle name="Použitý hypertextový odkaz" xfId="574" builtinId="9" hidden="1"/>
    <cellStyle name="Použitý hypertextový odkaz" xfId="576" builtinId="9" hidden="1"/>
    <cellStyle name="Použitý hypertextový odkaz" xfId="578" builtinId="9" hidden="1"/>
    <cellStyle name="Použitý hypertextový odkaz" xfId="580" builtinId="9" hidden="1"/>
    <cellStyle name="Použitý hypertextový odkaz" xfId="582" builtinId="9" hidden="1"/>
    <cellStyle name="Použitý hypertextový odkaz" xfId="584" builtinId="9" hidden="1"/>
    <cellStyle name="Použitý hypertextový odkaz" xfId="586" builtinId="9" hidden="1"/>
    <cellStyle name="Použitý hypertextový odkaz" xfId="588" builtinId="9" hidden="1"/>
    <cellStyle name="Použitý hypertextový odkaz" xfId="590" builtinId="9" hidden="1"/>
    <cellStyle name="Použitý hypertextový odkaz" xfId="592" builtinId="9" hidden="1"/>
    <cellStyle name="Použitý hypertextový odkaz" xfId="594" builtinId="9" hidden="1"/>
    <cellStyle name="Použitý hypertextový odkaz" xfId="596" builtinId="9" hidden="1"/>
    <cellStyle name="Použitý hypertextový odkaz" xfId="598" builtinId="9" hidden="1"/>
    <cellStyle name="Použitý hypertextový odkaz" xfId="600" builtinId="9" hidden="1"/>
    <cellStyle name="Použitý hypertextový odkaz" xfId="602" builtinId="9" hidden="1"/>
    <cellStyle name="Použitý hypertextový odkaz" xfId="604" builtinId="9" hidden="1"/>
    <cellStyle name="Použitý hypertextový odkaz" xfId="606" builtinId="9" hidden="1"/>
    <cellStyle name="Použitý hypertextový odkaz" xfId="608" builtinId="9" hidden="1"/>
    <cellStyle name="Použitý hypertextový odkaz" xfId="610" builtinId="9" hidden="1"/>
    <cellStyle name="Použitý hypertextový odkaz" xfId="612" builtinId="9" hidden="1"/>
    <cellStyle name="Použitý hypertextový odkaz" xfId="614" builtinId="9" hidden="1"/>
    <cellStyle name="Použitý hypertextový odkaz" xfId="616" builtinId="9" hidden="1"/>
    <cellStyle name="Použitý hypertextový odkaz" xfId="618" builtinId="9" hidden="1"/>
    <cellStyle name="Použitý hypertextový odkaz" xfId="620" builtinId="9" hidden="1"/>
    <cellStyle name="Použitý hypertextový odkaz" xfId="622" builtinId="9" hidden="1"/>
    <cellStyle name="Použitý hypertextový odkaz" xfId="624" builtinId="9" hidden="1"/>
    <cellStyle name="Použitý hypertextový odkaz" xfId="626" builtinId="9" hidden="1"/>
    <cellStyle name="Použitý hypertextový odkaz" xfId="628" builtinId="9" hidden="1"/>
    <cellStyle name="Použitý hypertextový odkaz" xfId="630" builtinId="9" hidden="1"/>
    <cellStyle name="Použitý hypertextový odkaz" xfId="632" builtinId="9" hidden="1"/>
    <cellStyle name="Použitý hypertextový odkaz" xfId="634" builtinId="9" hidden="1"/>
    <cellStyle name="Použitý hypertextový odkaz" xfId="636" builtinId="9" hidden="1"/>
    <cellStyle name="Použitý hypertextový odkaz" xfId="638" builtinId="9" hidden="1"/>
    <cellStyle name="Použitý hypertextový odkaz" xfId="640" builtinId="9" hidden="1"/>
    <cellStyle name="Použitý hypertextový odkaz" xfId="642" builtinId="9" hidden="1"/>
    <cellStyle name="Použitý hypertextový odkaz" xfId="644" builtinId="9" hidden="1"/>
    <cellStyle name="Použitý hypertextový odkaz" xfId="646" builtinId="9" hidden="1"/>
    <cellStyle name="Použitý hypertextový odkaz" xfId="648" builtinId="9" hidden="1"/>
    <cellStyle name="Použitý hypertextový odkaz" xfId="650" builtinId="9" hidden="1"/>
    <cellStyle name="Použitý hypertextový odkaz" xfId="652" builtinId="9" hidden="1"/>
    <cellStyle name="Použitý hypertextový odkaz" xfId="654" builtinId="9" hidden="1"/>
    <cellStyle name="Použitý hypertextový odkaz" xfId="656" builtinId="9" hidden="1"/>
    <cellStyle name="Použitý hypertextový odkaz" xfId="658" builtinId="9" hidden="1"/>
    <cellStyle name="Použitý hypertextový odkaz" xfId="660" builtinId="9" hidden="1"/>
    <cellStyle name="Použitý hypertextový odkaz" xfId="662" builtinId="9" hidden="1"/>
    <cellStyle name="Použitý hypertextový odkaz" xfId="664" builtinId="9" hidden="1"/>
    <cellStyle name="Použitý hypertextový odkaz" xfId="666" builtinId="9" hidden="1"/>
    <cellStyle name="Použitý hypertextový odkaz" xfId="668" builtinId="9" hidden="1"/>
    <cellStyle name="Použitý hypertextový odkaz" xfId="670" builtinId="9" hidden="1"/>
    <cellStyle name="Použitý hypertextový odkaz" xfId="672" builtinId="9" hidden="1"/>
    <cellStyle name="Použitý hypertextový odkaz" xfId="674" builtinId="9" hidden="1"/>
    <cellStyle name="Použitý hypertextový odkaz" xfId="676" builtinId="9" hidden="1"/>
    <cellStyle name="Použitý hypertextový odkaz" xfId="678" builtinId="9" hidden="1"/>
    <cellStyle name="Použitý hypertextový odkaz" xfId="680" builtinId="9" hidden="1"/>
    <cellStyle name="Použitý hypertextový odkaz" xfId="682" builtinId="9" hidden="1"/>
    <cellStyle name="Použitý hypertextový odkaz" xfId="684" builtinId="9" hidden="1"/>
    <cellStyle name="Použitý hypertextový odkaz" xfId="739" builtinId="9" hidden="1"/>
    <cellStyle name="Použitý hypertextový odkaz" xfId="741" builtinId="9" hidden="1"/>
    <cellStyle name="Použitý hypertextový odkaz" xfId="743" builtinId="9" hidden="1"/>
    <cellStyle name="Použitý hypertextový odkaz" xfId="745" builtinId="9" hidden="1"/>
    <cellStyle name="Použitý hypertextový odkaz" xfId="747" builtinId="9" hidden="1"/>
    <cellStyle name="Použitý hypertextový odkaz" xfId="749" builtinId="9" hidden="1"/>
    <cellStyle name="Použitý hypertextový odkaz" xfId="751" builtinId="9" hidden="1"/>
    <cellStyle name="Použitý hypertextový odkaz" xfId="753" builtinId="9" hidden="1"/>
    <cellStyle name="Použitý hypertextový odkaz" xfId="755" builtinId="9" hidden="1"/>
    <cellStyle name="Použitý hypertextový odkaz" xfId="757" builtinId="9" hidden="1"/>
    <cellStyle name="Použitý hypertextový odkaz" xfId="759" builtinId="9" hidden="1"/>
    <cellStyle name="Použitý hypertextový odkaz" xfId="761" builtinId="9" hidden="1"/>
    <cellStyle name="Použitý hypertextový odkaz" xfId="763" builtinId="9" hidden="1"/>
    <cellStyle name="Použitý hypertextový odkaz" xfId="765" builtinId="9" hidden="1"/>
    <cellStyle name="Použitý hypertextový odkaz" xfId="767" builtinId="9" hidden="1"/>
    <cellStyle name="Použitý hypertextový odkaz" xfId="769" builtinId="9" hidden="1"/>
    <cellStyle name="Použitý hypertextový odkaz" xfId="771" builtinId="9" hidden="1"/>
    <cellStyle name="Použitý hypertextový odkaz" xfId="773" builtinId="9" hidden="1"/>
    <cellStyle name="Použitý hypertextový odkaz" xfId="775" builtinId="9" hidden="1"/>
    <cellStyle name="Použitý hypertextový odkaz" xfId="777" builtinId="9" hidden="1"/>
    <cellStyle name="Použitý hypertextový odkaz" xfId="779" builtinId="9" hidden="1"/>
    <cellStyle name="Použitý hypertextový odkaz" xfId="781" builtinId="9" hidden="1"/>
    <cellStyle name="Použitý hypertextový odkaz" xfId="783" builtinId="9" hidden="1"/>
    <cellStyle name="Použitý hypertextový odkaz" xfId="785" builtinId="9" hidden="1"/>
    <cellStyle name="Použitý hypertextový odkaz" xfId="787" builtinId="9" hidden="1"/>
    <cellStyle name="Použitý hypertextový odkaz" xfId="789" builtinId="9" hidden="1"/>
    <cellStyle name="Použitý hypertextový odkaz" xfId="791" builtinId="9" hidden="1"/>
    <cellStyle name="Použitý hypertextový odkaz" xfId="793" builtinId="9" hidden="1"/>
    <cellStyle name="Použitý hypertextový odkaz" xfId="795" builtinId="9" hidden="1"/>
    <cellStyle name="Použitý hypertextový odkaz" xfId="797" builtinId="9" hidden="1"/>
    <cellStyle name="Použitý hypertextový odkaz" xfId="799" builtinId="9" hidden="1"/>
    <cellStyle name="Použitý hypertextový odkaz" xfId="801" builtinId="9" hidden="1"/>
    <cellStyle name="Použitý hypertextový odkaz" xfId="803" builtinId="9" hidden="1"/>
    <cellStyle name="Použitý hypertextový odkaz" xfId="805" builtinId="9" hidden="1"/>
    <cellStyle name="Použitý hypertextový odkaz" xfId="807" builtinId="9" hidden="1"/>
    <cellStyle name="Použitý hypertextový odkaz" xfId="809" builtinId="9" hidden="1"/>
    <cellStyle name="Použitý hypertextový odkaz" xfId="811" builtinId="9" hidden="1"/>
    <cellStyle name="Použitý hypertextový odkaz" xfId="813" builtinId="9" hidden="1"/>
    <cellStyle name="Použitý hypertextový odkaz" xfId="815" builtinId="9" hidden="1"/>
    <cellStyle name="Použitý hypertextový odkaz" xfId="817" builtinId="9" hidden="1"/>
    <cellStyle name="Použitý hypertextový odkaz" xfId="819" builtinId="9" hidden="1"/>
    <cellStyle name="Použitý hypertextový odkaz" xfId="821" builtinId="9" hidden="1"/>
    <cellStyle name="Použitý hypertextový odkaz" xfId="823" builtinId="9" hidden="1"/>
    <cellStyle name="Použitý hypertextový odkaz" xfId="825" builtinId="9" hidden="1"/>
    <cellStyle name="Použitý hypertextový odkaz" xfId="827" builtinId="9" hidden="1"/>
    <cellStyle name="Použitý hypertextový odkaz" xfId="829" builtinId="9" hidden="1"/>
    <cellStyle name="Použitý hypertextový odkaz" xfId="831" builtinId="9" hidden="1"/>
    <cellStyle name="Použitý hypertextový odkaz" xfId="833" builtinId="9" hidden="1"/>
    <cellStyle name="Použitý hypertextový odkaz" xfId="835" builtinId="9" hidden="1"/>
    <cellStyle name="Použitý hypertextový odkaz" xfId="837" builtinId="9" hidden="1"/>
    <cellStyle name="Použitý hypertextový odkaz" xfId="839" builtinId="9" hidden="1"/>
    <cellStyle name="Použitý hypertextový odkaz" xfId="841" builtinId="9" hidden="1"/>
    <cellStyle name="Použitý hypertextový odkaz" xfId="843" builtinId="9" hidden="1"/>
    <cellStyle name="Použitý hypertextový odkaz" xfId="845" builtinId="9" hidden="1"/>
    <cellStyle name="Použitý hypertextový odkaz" xfId="847" builtinId="9" hidden="1"/>
    <cellStyle name="Použitý hypertextový odkaz" xfId="849" builtinId="9" hidden="1"/>
    <cellStyle name="Použitý hypertextový odkaz" xfId="851" builtinId="9" hidden="1"/>
    <cellStyle name="Použitý hypertextový odkaz" xfId="853" builtinId="9" hidden="1"/>
    <cellStyle name="Použitý hypertextový odkaz" xfId="855" builtinId="9" hidden="1"/>
    <cellStyle name="Použitý hypertextový odkaz" xfId="857" builtinId="9" hidden="1"/>
    <cellStyle name="Použitý hypertextový odkaz" xfId="859" builtinId="9" hidden="1"/>
    <cellStyle name="Použitý hypertextový odkaz" xfId="861" builtinId="9" hidden="1"/>
    <cellStyle name="Použitý hypertextový odkaz" xfId="863" builtinId="9" hidden="1"/>
    <cellStyle name="Použitý hypertextový odkaz" xfId="865" builtinId="9" hidden="1"/>
    <cellStyle name="Použitý hypertextový odkaz" xfId="867" builtinId="9" hidden="1"/>
    <cellStyle name="Použitý hypertextový odkaz" xfId="869" builtinId="9" hidden="1"/>
    <cellStyle name="Použitý hypertextový odkaz" xfId="871" builtinId="9" hidden="1"/>
    <cellStyle name="Použitý hypertextový odkaz" xfId="873" builtinId="9" hidden="1"/>
    <cellStyle name="Použitý hypertextový odkaz" xfId="875" builtinId="9" hidden="1"/>
    <cellStyle name="Použitý hypertextový odkaz" xfId="877" builtinId="9" hidden="1"/>
    <cellStyle name="Použitý hypertextový odkaz" xfId="879" builtinId="9" hidden="1"/>
    <cellStyle name="Použitý hypertextový odkaz" xfId="881" builtinId="9" hidden="1"/>
    <cellStyle name="Použitý hypertextový odkaz" xfId="883" builtinId="9" hidden="1"/>
    <cellStyle name="Použitý hypertextový odkaz" xfId="885" builtinId="9" hidden="1"/>
    <cellStyle name="Použitý hypertextový odkaz" xfId="887" builtinId="9" hidden="1"/>
    <cellStyle name="Použitý hypertextový odkaz" xfId="889" builtinId="9" hidden="1"/>
    <cellStyle name="Použitý hypertextový odkaz" xfId="891" builtinId="9" hidden="1"/>
    <cellStyle name="Použitý hypertextový odkaz" xfId="893" builtinId="9" hidden="1"/>
    <cellStyle name="Použitý hypertextový odkaz" xfId="895" builtinId="9" hidden="1"/>
    <cellStyle name="Použitý hypertextový odkaz" xfId="897" builtinId="9" hidden="1"/>
    <cellStyle name="Použitý hypertextový odkaz" xfId="899" builtinId="9" hidden="1"/>
    <cellStyle name="Použitý hypertextový odkaz" xfId="901" builtinId="9" hidden="1"/>
    <cellStyle name="Použitý hypertextový odkaz" xfId="903" builtinId="9" hidden="1"/>
    <cellStyle name="Použitý hypertextový odkaz" xfId="905" builtinId="9" hidden="1"/>
    <cellStyle name="Použitý hypertextový odkaz" xfId="907" builtinId="9" hidden="1"/>
    <cellStyle name="Použitý hypertextový odkaz" xfId="909" builtinId="9" hidden="1"/>
    <cellStyle name="Použitý hypertextový odkaz" xfId="911" builtinId="9" hidden="1"/>
    <cellStyle name="Použitý hypertextový odkaz" xfId="913" builtinId="9" hidden="1"/>
    <cellStyle name="Použitý hypertextový odkaz" xfId="915" builtinId="9" hidden="1"/>
    <cellStyle name="Použitý hypertextový odkaz" xfId="917" builtinId="9" hidden="1"/>
    <cellStyle name="Použitý hypertextový odkaz" xfId="919" builtinId="9" hidden="1"/>
    <cellStyle name="Použitý hypertextový odkaz" xfId="921" builtinId="9" hidden="1"/>
    <cellStyle name="Použitý hypertextový odkaz" xfId="923" builtinId="9" hidden="1"/>
    <cellStyle name="Použitý hypertextový odkaz" xfId="925" builtinId="9" hidden="1"/>
    <cellStyle name="Použitý hypertextový odkaz" xfId="927" builtinId="9" hidden="1"/>
    <cellStyle name="Použitý hypertextový odkaz" xfId="929" builtinId="9" hidden="1"/>
    <cellStyle name="Použitý hypertextový odkaz" xfId="931" builtinId="9" hidden="1"/>
    <cellStyle name="Použitý hypertextový odkaz" xfId="933" builtinId="9" hidden="1"/>
    <cellStyle name="Použitý hypertextový odkaz" xfId="935" builtinId="9" hidden="1"/>
    <cellStyle name="Použitý hypertextový odkaz" xfId="937" builtinId="9" hidden="1"/>
    <cellStyle name="Použitý hypertextový odkaz" xfId="939" builtinId="9" hidden="1"/>
    <cellStyle name="Použitý hypertextový odkaz" xfId="941" builtinId="9" hidden="1"/>
    <cellStyle name="Použitý hypertextový odkaz" xfId="943" builtinId="9" hidden="1"/>
    <cellStyle name="Použitý hypertextový odkaz" xfId="945" builtinId="9" hidden="1"/>
    <cellStyle name="Použitý hypertextový odkaz" xfId="947" builtinId="9" hidden="1"/>
    <cellStyle name="Použitý hypertextový odkaz" xfId="949" builtinId="9" hidden="1"/>
    <cellStyle name="Použitý hypertextový odkaz" xfId="951" builtinId="9" hidden="1"/>
    <cellStyle name="Použitý hypertextový odkaz" xfId="953" builtinId="9" hidden="1"/>
    <cellStyle name="Použitý hypertextový odkaz" xfId="955" builtinId="9" hidden="1"/>
    <cellStyle name="Použitý hypertextový odkaz" xfId="957" builtinId="9" hidden="1"/>
    <cellStyle name="Použitý hypertextový odkaz" xfId="959" builtinId="9" hidden="1"/>
    <cellStyle name="Použitý hypertextový odkaz" xfId="961" builtinId="9" hidden="1"/>
    <cellStyle name="Použitý hypertextový odkaz" xfId="963" builtinId="9" hidden="1"/>
    <cellStyle name="Použitý hypertextový odkaz" xfId="965" builtinId="9" hidden="1"/>
    <cellStyle name="Použitý hypertextový odkaz" xfId="967" builtinId="9" hidden="1"/>
    <cellStyle name="Použitý hypertextový odkaz" xfId="969" builtinId="9" hidden="1"/>
    <cellStyle name="Použitý hypertextový odkaz" xfId="971" builtinId="9" hidden="1"/>
    <cellStyle name="Použitý hypertextový odkaz" xfId="973" builtinId="9" hidden="1"/>
    <cellStyle name="Použitý hypertextový odkaz" xfId="975" builtinId="9" hidden="1"/>
    <cellStyle name="Použitý hypertextový odkaz" xfId="977" builtinId="9" hidden="1"/>
    <cellStyle name="Použitý hypertextový odkaz" xfId="979" builtinId="9" hidden="1"/>
    <cellStyle name="Použitý hypertextový odkaz" xfId="981" builtinId="9" hidden="1"/>
    <cellStyle name="Použitý hypertextový odkaz" xfId="983" builtinId="9" hidden="1"/>
    <cellStyle name="Použitý hypertextový odkaz" xfId="985" builtinId="9" hidden="1"/>
    <cellStyle name="Použitý hypertextový odkaz" xfId="987" builtinId="9" hidden="1"/>
    <cellStyle name="Použitý hypertextový odkaz" xfId="989" builtinId="9" hidden="1"/>
    <cellStyle name="Použitý hypertextový odkaz" xfId="991" builtinId="9" hidden="1"/>
    <cellStyle name="Použitý hypertextový odkaz" xfId="993" builtinId="9" hidden="1"/>
    <cellStyle name="Použitý hypertextový odkaz" xfId="995" builtinId="9" hidden="1"/>
    <cellStyle name="Použitý hypertextový odkaz" xfId="997" builtinId="9" hidden="1"/>
    <cellStyle name="Použitý hypertextový odkaz" xfId="999" builtinId="9" hidden="1"/>
    <cellStyle name="Použitý hypertextový odkaz" xfId="1001" builtinId="9" hidden="1"/>
    <cellStyle name="Použitý hypertextový odkaz" xfId="1003" builtinId="9" hidden="1"/>
    <cellStyle name="Použitý hypertextový odkaz" xfId="1005" builtinId="9" hidden="1"/>
    <cellStyle name="Použitý hypertextový odkaz" xfId="1007" builtinId="9" hidden="1"/>
    <cellStyle name="Použitý hypertextový odkaz" xfId="1009" builtinId="9" hidden="1"/>
    <cellStyle name="Použitý hypertextový odkaz" xfId="1011" builtinId="9" hidden="1"/>
    <cellStyle name="Použitý hypertextový odkaz" xfId="1013" builtinId="9" hidden="1"/>
    <cellStyle name="Použitý hypertextový odkaz" xfId="1015" builtinId="9" hidden="1"/>
    <cellStyle name="Použitý hypertextový odkaz" xfId="1017" builtinId="9" hidden="1"/>
    <cellStyle name="Použitý hypertextový odkaz" xfId="1019" builtinId="9" hidden="1"/>
    <cellStyle name="Použitý hypertextový odkaz" xfId="1021" builtinId="9" hidden="1"/>
    <cellStyle name="Použitý hypertextový odkaz" xfId="1023" builtinId="9" hidden="1"/>
    <cellStyle name="Použitý hypertextový odkaz" xfId="1025" builtinId="9" hidden="1"/>
    <cellStyle name="Použitý hypertextový odkaz" xfId="1027" builtinId="9" hidden="1"/>
    <cellStyle name="Použitý hypertextový odkaz" xfId="1029" builtinId="9" hidden="1"/>
    <cellStyle name="Použitý hypertextový odkaz" xfId="1031" builtinId="9" hidden="1"/>
    <cellStyle name="Použitý hypertextový odkaz" xfId="1033" builtinId="9" hidden="1"/>
    <cellStyle name="Použitý hypertextový odkaz" xfId="1035" builtinId="9" hidden="1"/>
    <cellStyle name="Použitý hypertextový odkaz" xfId="1037" builtinId="9" hidden="1"/>
    <cellStyle name="Použitý hypertextový odkaz" xfId="1039" builtinId="9" hidden="1"/>
    <cellStyle name="Použitý hypertextový odkaz" xfId="1041" builtinId="9" hidden="1"/>
    <cellStyle name="Použitý hypertextový odkaz" xfId="1043" builtinId="9" hidden="1"/>
    <cellStyle name="Použitý hypertextový odkaz" xfId="1045" builtinId="9" hidden="1"/>
    <cellStyle name="Použitý hypertextový odkaz" xfId="1047" builtinId="9" hidden="1"/>
    <cellStyle name="Použitý hypertextový odkaz" xfId="1049" builtinId="9" hidden="1"/>
    <cellStyle name="Použitý hypertextový odkaz" xfId="1051" builtinId="9" hidden="1"/>
    <cellStyle name="Použitý hypertextový odkaz" xfId="1053" builtinId="9" hidden="1"/>
    <cellStyle name="Použitý hypertextový odkaz" xfId="1055" builtinId="9" hidden="1"/>
    <cellStyle name="Použitý hypertextový odkaz" xfId="1057" builtinId="9" hidden="1"/>
    <cellStyle name="Použitý hypertextový odkaz" xfId="1059" builtinId="9" hidden="1"/>
    <cellStyle name="Použitý hypertextový odkaz" xfId="1061" builtinId="9" hidden="1"/>
    <cellStyle name="Použitý hypertextový odkaz" xfId="1063" builtinId="9" hidden="1"/>
    <cellStyle name="Použitý hypertextový odkaz" xfId="1065" builtinId="9" hidden="1"/>
    <cellStyle name="Použitý hypertextový odkaz" xfId="1067" builtinId="9" hidden="1"/>
    <cellStyle name="Použitý hypertextový odkaz" xfId="1069" builtinId="9" hidden="1"/>
    <cellStyle name="Použitý hypertextový odkaz" xfId="1071" builtinId="9" hidden="1"/>
    <cellStyle name="Použitý hypertextový odkaz" xfId="1073" builtinId="9" hidden="1"/>
    <cellStyle name="Použitý hypertextový odkaz" xfId="1075" builtinId="9" hidden="1"/>
    <cellStyle name="Použitý hypertextový odkaz" xfId="1077" builtinId="9" hidden="1"/>
    <cellStyle name="Použitý hypertextový odkaz" xfId="1079" builtinId="9" hidden="1"/>
    <cellStyle name="Použitý hypertextový odkaz" xfId="1081" builtinId="9" hidden="1"/>
    <cellStyle name="Použitý hypertextový odkaz" xfId="1083" builtinId="9" hidden="1"/>
    <cellStyle name="Použitý hypertextový odkaz" xfId="1085" builtinId="9" hidden="1"/>
    <cellStyle name="Použitý hypertextový odkaz" xfId="1087" builtinId="9" hidden="1"/>
    <cellStyle name="Použitý hypertextový odkaz" xfId="1089" builtinId="9" hidden="1"/>
    <cellStyle name="Použitý hypertextový odkaz" xfId="1091" builtinId="9" hidden="1"/>
    <cellStyle name="Použitý hypertextový odkaz" xfId="1093" builtinId="9" hidden="1"/>
    <cellStyle name="Použitý hypertextový odkaz" xfId="1095" builtinId="9" hidden="1"/>
    <cellStyle name="Použitý hypertextový odkaz" xfId="1097" builtinId="9" hidden="1"/>
    <cellStyle name="Použitý hypertextový odkaz" xfId="1099" builtinId="9" hidden="1"/>
    <cellStyle name="Použitý hypertextový odkaz" xfId="1101" builtinId="9" hidden="1"/>
    <cellStyle name="Použitý hypertextový odkaz" xfId="1103" builtinId="9" hidden="1"/>
    <cellStyle name="Použitý hypertextový odkaz" xfId="1105" builtinId="9" hidden="1"/>
    <cellStyle name="Použitý hypertextový odkaz" xfId="1107" builtinId="9" hidden="1"/>
    <cellStyle name="Použitý hypertextový odkaz" xfId="1109" builtinId="9" hidden="1"/>
    <cellStyle name="Použitý hypertextový odkaz" xfId="1111" builtinId="9" hidden="1"/>
    <cellStyle name="Použitý hypertextový odkaz" xfId="1113" builtinId="9" hidden="1"/>
    <cellStyle name="Použitý hypertextový odkaz" xfId="1115" builtinId="9" hidden="1"/>
    <cellStyle name="Použitý hypertextový odkaz" xfId="1117" builtinId="9" hidden="1"/>
    <cellStyle name="Použitý hypertextový odkaz" xfId="1119" builtinId="9" hidden="1"/>
    <cellStyle name="Použitý hypertextový odkaz" xfId="1121" builtinId="9" hidden="1"/>
    <cellStyle name="Použitý hypertextový odkaz" xfId="1123" builtinId="9" hidden="1"/>
    <cellStyle name="Použitý hypertextový odkaz" xfId="1125" builtinId="9" hidden="1"/>
    <cellStyle name="Použitý hypertextový odkaz" xfId="1127" builtinId="9" hidden="1"/>
    <cellStyle name="Použitý hypertextový odkaz" xfId="1129" builtinId="9" hidden="1"/>
    <cellStyle name="Použitý hypertextový odkaz" xfId="1131" builtinId="9" hidden="1"/>
    <cellStyle name="Použitý hypertextový odkaz" xfId="1133" builtinId="9" hidden="1"/>
    <cellStyle name="Použitý hypertextový odkaz" xfId="1135" builtinId="9" hidden="1"/>
    <cellStyle name="Použitý hypertextový odkaz" xfId="1137" builtinId="9" hidden="1"/>
    <cellStyle name="Použitý hypertextový odkaz" xfId="1139" builtinId="9" hidden="1"/>
    <cellStyle name="Použitý hypertextový odkaz" xfId="1141" builtinId="9" hidden="1"/>
    <cellStyle name="Použitý hypertextový odkaz" xfId="1143" builtinId="9" hidden="1"/>
    <cellStyle name="Použitý hypertextový odkaz" xfId="1145" builtinId="9" hidden="1"/>
    <cellStyle name="Použitý hypertextový odkaz" xfId="1147" builtinId="9" hidden="1"/>
    <cellStyle name="Použitý hypertextový odkaz" xfId="1149" builtinId="9" hidden="1"/>
    <cellStyle name="Použitý hypertextový odkaz" xfId="1151" builtinId="9" hidden="1"/>
    <cellStyle name="Použitý hypertextový odkaz" xfId="1153" builtinId="9" hidden="1"/>
    <cellStyle name="Použitý hypertextový odkaz" xfId="1155" builtinId="9" hidden="1"/>
    <cellStyle name="Použitý hypertextový odkaz" xfId="1157" builtinId="9" hidden="1"/>
    <cellStyle name="Použitý hypertextový odkaz" xfId="1159" builtinId="9" hidden="1"/>
    <cellStyle name="Použitý hypertextový odkaz" xfId="1161" builtinId="9" hidden="1"/>
    <cellStyle name="Použitý hypertextový odkaz" xfId="1163" builtinId="9" hidden="1"/>
    <cellStyle name="Použitý hypertextový odkaz" xfId="1165" builtinId="9" hidden="1"/>
    <cellStyle name="Použitý hypertextový odkaz" xfId="1167" builtinId="9" hidden="1"/>
    <cellStyle name="Použitý hypertextový odkaz" xfId="1169" builtinId="9" hidden="1"/>
    <cellStyle name="Použitý hypertextový odkaz" xfId="1171" builtinId="9" hidden="1"/>
    <cellStyle name="Použitý hypertextový odkaz" xfId="1173" builtinId="9" hidden="1"/>
    <cellStyle name="Použitý hypertextový odkaz" xfId="1175" builtinId="9" hidden="1"/>
    <cellStyle name="Použitý hypertextový odkaz" xfId="1177" builtinId="9" hidden="1"/>
    <cellStyle name="Použitý hypertextový odkaz" xfId="1179" builtinId="9" hidden="1"/>
    <cellStyle name="Použitý hypertextový odkaz" xfId="1181" builtinId="9" hidden="1"/>
    <cellStyle name="Použitý hypertextový odkaz" xfId="1183" builtinId="9" hidden="1"/>
    <cellStyle name="Použitý hypertextový odkaz" xfId="1185" builtinId="9" hidden="1"/>
    <cellStyle name="Použitý hypertextový odkaz" xfId="1187" builtinId="9" hidden="1"/>
    <cellStyle name="Použitý hypertextový odkaz" xfId="1189" builtinId="9" hidden="1"/>
    <cellStyle name="Použitý hypertextový odkaz" xfId="1191" builtinId="9" hidden="1"/>
    <cellStyle name="Použitý hypertextový odkaz" xfId="1193" builtinId="9" hidden="1"/>
    <cellStyle name="Použitý hypertextový odkaz" xfId="1195" builtinId="9" hidden="1"/>
    <cellStyle name="Použitý hypertextový odkaz" xfId="1197" builtinId="9" hidden="1"/>
    <cellStyle name="Použitý hypertextový odkaz" xfId="1199" builtinId="9" hidden="1"/>
    <cellStyle name="Použitý hypertextový odkaz" xfId="1201" builtinId="9" hidden="1"/>
    <cellStyle name="Použitý hypertextový odkaz" xfId="1203" builtinId="9" hidden="1"/>
    <cellStyle name="Použitý hypertextový odkaz" xfId="1205" builtinId="9" hidden="1"/>
    <cellStyle name="Použitý hypertextový odkaz" xfId="1207" builtinId="9" hidden="1"/>
    <cellStyle name="Použitý hypertextový odkaz" xfId="1209" builtinId="9" hidden="1"/>
    <cellStyle name="Použitý hypertextový odkaz" xfId="1211" builtinId="9" hidden="1"/>
    <cellStyle name="Použitý hypertextový odkaz" xfId="1213" builtinId="9" hidden="1"/>
    <cellStyle name="Použitý hypertextový odkaz" xfId="1215" builtinId="9" hidden="1"/>
    <cellStyle name="Použitý hypertextový odkaz" xfId="1217" builtinId="9" hidden="1"/>
    <cellStyle name="Použitý hypertextový odkaz" xfId="1219" builtinId="9" hidden="1"/>
    <cellStyle name="Použitý hypertextový odkaz" xfId="1221" builtinId="9" hidden="1"/>
    <cellStyle name="Použitý hypertextový odkaz" xfId="1223" builtinId="9" hidden="1"/>
    <cellStyle name="Použitý hypertextový odkaz" xfId="1225" builtinId="9" hidden="1"/>
    <cellStyle name="Použitý hypertextový odkaz" xfId="1227" builtinId="9" hidden="1"/>
    <cellStyle name="Použitý hypertextový odkaz" xfId="1229" builtinId="9" hidden="1"/>
    <cellStyle name="Použitý hypertextový odkaz" xfId="1231" builtinId="9" hidden="1"/>
    <cellStyle name="Použitý hypertextový odkaz" xfId="1233" builtinId="9" hidden="1"/>
    <cellStyle name="Použitý hypertextový odkaz" xfId="1235" builtinId="9" hidden="1"/>
    <cellStyle name="Použitý hypertextový odkaz" xfId="1237" builtinId="9" hidden="1"/>
    <cellStyle name="Použitý hypertextový odkaz" xfId="1239" builtinId="9" hidden="1"/>
    <cellStyle name="Použitý hypertextový odkaz" xfId="1241" builtinId="9" hidden="1"/>
    <cellStyle name="Použitý hypertextový odkaz" xfId="1243" builtinId="9" hidden="1"/>
    <cellStyle name="Použitý hypertextový odkaz" xfId="1245" builtinId="9" hidden="1"/>
    <cellStyle name="Použitý hypertextový odkaz" xfId="1247" builtinId="9" hidden="1"/>
    <cellStyle name="Použitý hypertextový odkaz" xfId="1249" builtinId="9" hidden="1"/>
    <cellStyle name="Použitý hypertextový odkaz" xfId="1251" builtinId="9" hidden="1"/>
    <cellStyle name="Použitý hypertextový odkaz" xfId="1253" builtinId="9" hidden="1"/>
    <cellStyle name="Použitý hypertextový odkaz" xfId="1255" builtinId="9" hidden="1"/>
    <cellStyle name="Použitý hypertextový odkaz" xfId="1257" builtinId="9" hidden="1"/>
    <cellStyle name="Použitý hypertextový odkaz" xfId="1259" builtinId="9" hidden="1"/>
    <cellStyle name="Použitý hypertextový odkaz" xfId="1261" builtinId="9" hidden="1"/>
    <cellStyle name="Použitý hypertextový odkaz" xfId="1263" builtinId="9" hidden="1"/>
    <cellStyle name="Použitý hypertextový odkaz" xfId="1265" builtinId="9" hidden="1"/>
    <cellStyle name="Použitý hypertextový odkaz" xfId="1267" builtinId="9" hidden="1"/>
    <cellStyle name="Použitý hypertextový odkaz" xfId="1269" builtinId="9" hidden="1"/>
    <cellStyle name="Použitý hypertextový odkaz" xfId="1271" builtinId="9" hidden="1"/>
    <cellStyle name="Použitý hypertextový odkaz" xfId="1273" builtinId="9" hidden="1"/>
    <cellStyle name="Použitý hypertextový odkaz" xfId="1275" builtinId="9" hidden="1"/>
    <cellStyle name="Použitý hypertextový odkaz" xfId="1277" builtinId="9" hidden="1"/>
    <cellStyle name="Použitý hypertextový odkaz" xfId="1279" builtinId="9" hidden="1"/>
    <cellStyle name="Použitý hypertextový odkaz" xfId="1281" builtinId="9" hidden="1"/>
    <cellStyle name="Použitý hypertextový odkaz" xfId="1283" builtinId="9" hidden="1"/>
    <cellStyle name="Použitý hypertextový odkaz" xfId="1286" builtinId="9" hidden="1"/>
    <cellStyle name="Použitý hypertextový odkaz" xfId="1288" builtinId="9" hidden="1"/>
    <cellStyle name="Použitý hypertextový odkaz" xfId="1290" builtinId="9" hidden="1"/>
    <cellStyle name="Použitý hypertextový odkaz" xfId="1292" builtinId="9" hidden="1"/>
    <cellStyle name="Použitý hypertextový odkaz" xfId="1294" builtinId="9" hidden="1"/>
    <cellStyle name="Použitý hypertextový odkaz" xfId="1296" builtinId="9" hidden="1"/>
    <cellStyle name="Použitý hypertextový odkaz" xfId="1298" builtinId="9" hidden="1"/>
    <cellStyle name="Použitý hypertextový odkaz" xfId="1300" builtinId="9" hidden="1"/>
    <cellStyle name="Použitý hypertextový odkaz" xfId="1302" builtinId="9" hidden="1"/>
    <cellStyle name="Použitý hypertextový odkaz" xfId="1304" builtinId="9" hidden="1"/>
    <cellStyle name="Použitý hypertextový odkaz" xfId="1306" builtinId="9" hidden="1"/>
    <cellStyle name="Použitý hypertextový odkaz" xfId="1308" builtinId="9" hidden="1"/>
    <cellStyle name="Použitý hypertextový odkaz" xfId="1310" builtinId="9" hidden="1"/>
    <cellStyle name="Použitý hypertextový odkaz" xfId="1312" builtinId="9" hidden="1"/>
    <cellStyle name="Použitý hypertextový odkaz" xfId="1314" builtinId="9" hidden="1"/>
    <cellStyle name="Použitý hypertextový odkaz" xfId="1316" builtinId="9" hidden="1"/>
    <cellStyle name="Použitý hypertextový odkaz" xfId="1318" builtinId="9" hidden="1"/>
    <cellStyle name="Použitý hypertextový odkaz" xfId="1320" builtinId="9" hidden="1"/>
    <cellStyle name="Použitý hypertextový odkaz" xfId="1322" builtinId="9" hidden="1"/>
    <cellStyle name="Použitý hypertextový odkaz" xfId="1324" builtinId="9" hidden="1"/>
    <cellStyle name="Použitý hypertextový odkaz" xfId="1326" builtinId="9" hidden="1"/>
    <cellStyle name="Použitý hypertextový odkaz" xfId="1328" builtinId="9" hidden="1"/>
    <cellStyle name="Použitý hypertextový odkaz" xfId="1330" builtinId="9" hidden="1"/>
    <cellStyle name="Použitý hypertextový odkaz" xfId="1332" builtinId="9" hidden="1"/>
    <cellStyle name="Použitý hypertextový odkaz" xfId="1334" builtinId="9" hidden="1"/>
    <cellStyle name="Použitý hypertextový odkaz" xfId="1336" builtinId="9" hidden="1"/>
    <cellStyle name="Použitý hypertextový odkaz" xfId="1338" builtinId="9" hidden="1"/>
    <cellStyle name="Použitý hypertextový odkaz" xfId="1340" builtinId="9" hidden="1"/>
    <cellStyle name="Použitý hypertextový odkaz" xfId="1342" builtinId="9" hidden="1"/>
    <cellStyle name="Použitý hypertextový odkaz" xfId="1344" builtinId="9" hidden="1"/>
    <cellStyle name="Použitý hypertextový odkaz" xfId="1346" builtinId="9" hidden="1"/>
    <cellStyle name="Použitý hypertextový odkaz" xfId="1348" builtinId="9" hidden="1"/>
    <cellStyle name="Použitý hypertextový odkaz" xfId="1350" builtinId="9" hidden="1"/>
    <cellStyle name="Použitý hypertextový odkaz" xfId="1352" builtinId="9" hidden="1"/>
    <cellStyle name="Použitý hypertextový odkaz" xfId="1354" builtinId="9" hidden="1"/>
    <cellStyle name="Použitý hypertextový odkaz" xfId="1356" builtinId="9" hidden="1"/>
    <cellStyle name="Použitý hypertextový odkaz" xfId="1358" builtinId="9" hidden="1"/>
    <cellStyle name="Použitý hypertextový odkaz" xfId="1360" builtinId="9" hidden="1"/>
    <cellStyle name="Použitý hypertextový odkaz" xfId="1362" builtinId="9" hidden="1"/>
    <cellStyle name="Použitý hypertextový odkaz" xfId="1364" builtinId="9" hidden="1"/>
    <cellStyle name="Použitý hypertextový odkaz" xfId="1366" builtinId="9" hidden="1"/>
    <cellStyle name="Použitý hypertextový odkaz" xfId="1368" builtinId="9" hidden="1"/>
    <cellStyle name="Použitý hypertextový odkaz" xfId="1370" builtinId="9" hidden="1"/>
    <cellStyle name="Použitý hypertextový odkaz" xfId="1372" builtinId="9" hidden="1"/>
    <cellStyle name="Použitý hypertextový odkaz" xfId="1374" builtinId="9" hidden="1"/>
    <cellStyle name="Použitý hypertextový odkaz" xfId="1376" builtinId="9" hidden="1"/>
    <cellStyle name="Použitý hypertextový odkaz" xfId="1378" builtinId="9" hidden="1"/>
    <cellStyle name="Použitý hypertextový odkaz" xfId="1380" builtinId="9" hidden="1"/>
    <cellStyle name="Použitý hypertextový odkaz" xfId="1382" builtinId="9" hidden="1"/>
    <cellStyle name="Použitý hypertextový odkaz" xfId="1384" builtinId="9" hidden="1"/>
    <cellStyle name="Použitý hypertextový odkaz" xfId="1386" builtinId="9" hidden="1"/>
    <cellStyle name="Použitý hypertextový odkaz" xfId="1388" builtinId="9" hidden="1"/>
    <cellStyle name="Použitý hypertextový odkaz" xfId="1390" builtinId="9" hidden="1"/>
    <cellStyle name="Použitý hypertextový odkaz" xfId="1392" builtinId="9" hidden="1"/>
    <cellStyle name="Použitý hypertextový odkaz" xfId="1394" builtinId="9" hidden="1"/>
    <cellStyle name="Použitý hypertextový odkaz" xfId="1396" builtinId="9" hidden="1"/>
    <cellStyle name="Použitý hypertextový odkaz" xfId="1398" builtinId="9" hidden="1"/>
    <cellStyle name="Použitý hypertextový odkaz" xfId="1400" builtinId="9" hidden="1"/>
    <cellStyle name="Použitý hypertextový odkaz" xfId="1402" builtinId="9" hidden="1"/>
    <cellStyle name="Použitý hypertextový odkaz" xfId="1404" builtinId="9" hidden="1"/>
    <cellStyle name="Použitý hypertextový odkaz" xfId="1406" builtinId="9" hidden="1"/>
    <cellStyle name="Použitý hypertextový odkaz" xfId="1408" builtinId="9" hidden="1"/>
    <cellStyle name="Použitý hypertextový odkaz" xfId="1410" builtinId="9" hidden="1"/>
    <cellStyle name="Použitý hypertextový odkaz" xfId="1412" builtinId="9" hidden="1"/>
    <cellStyle name="Použitý hypertextový odkaz" xfId="1414" builtinId="9" hidden="1"/>
    <cellStyle name="Použitý hypertextový odkaz" xfId="1416" builtinId="9" hidden="1"/>
    <cellStyle name="Použitý hypertextový odkaz" xfId="1418" builtinId="9" hidden="1"/>
    <cellStyle name="Použitý hypertextový odkaz" xfId="1420" builtinId="9" hidden="1"/>
    <cellStyle name="Použitý hypertextový odkaz" xfId="1422" builtinId="9" hidden="1"/>
    <cellStyle name="Použitý hypertextový odkaz" xfId="1424" builtinId="9" hidden="1"/>
    <cellStyle name="Použitý hypertextový odkaz" xfId="1426" builtinId="9" hidden="1"/>
    <cellStyle name="Použitý hypertextový odkaz" xfId="1428" builtinId="9" hidden="1"/>
    <cellStyle name="Použitý hypertextový odkaz" xfId="1430" builtinId="9" hidden="1"/>
    <cellStyle name="Použitý hypertextový odkaz" xfId="1432" builtinId="9" hidden="1"/>
    <cellStyle name="Použitý hypertextový odkaz" xfId="1434" builtinId="9" hidden="1"/>
    <cellStyle name="Použitý hypertextový odkaz" xfId="1436" builtinId="9" hidden="1"/>
    <cellStyle name="Použitý hypertextový odkaz" xfId="1438" builtinId="9" hidden="1"/>
    <cellStyle name="Použitý hypertextový odkaz" xfId="1440" builtinId="9" hidden="1"/>
    <cellStyle name="Použitý hypertextový odkaz" xfId="1442" builtinId="9" hidden="1"/>
    <cellStyle name="Použitý hypertextový odkaz" xfId="1444" builtinId="9" hidden="1"/>
    <cellStyle name="Použitý hypertextový odkaz" xfId="1446" builtinId="9" hidden="1"/>
    <cellStyle name="Použitý hypertextový odkaz" xfId="1448" builtinId="9" hidden="1"/>
    <cellStyle name="Použitý hypertextový odkaz" xfId="1450" builtinId="9" hidden="1"/>
    <cellStyle name="Použitý hypertextový odkaz" xfId="1452" builtinId="9" hidden="1"/>
    <cellStyle name="Použitý hypertextový odkaz" xfId="1454" builtinId="9" hidden="1"/>
    <cellStyle name="Použitý hypertextový odkaz" xfId="1456" builtinId="9" hidden="1"/>
    <cellStyle name="Použitý hypertextový odkaz" xfId="1458" builtinId="9" hidden="1"/>
    <cellStyle name="Použitý hypertextový odkaz" xfId="1460" builtinId="9" hidden="1"/>
    <cellStyle name="Použitý hypertextový odkaz" xfId="1462" builtinId="9" hidden="1"/>
    <cellStyle name="Použitý hypertextový odkaz" xfId="1464" builtinId="9" hidden="1"/>
    <cellStyle name="Použitý hypertextový odkaz" xfId="1466" builtinId="9" hidden="1"/>
    <cellStyle name="Použitý hypertextový odkaz" xfId="1468" builtinId="9" hidden="1"/>
    <cellStyle name="Použitý hypertextový odkaz" xfId="1470" builtinId="9" hidden="1"/>
    <cellStyle name="Použitý hypertextový odkaz" xfId="1472" builtinId="9" hidden="1"/>
    <cellStyle name="Použitý hypertextový odkaz" xfId="1474" builtinId="9" hidden="1"/>
    <cellStyle name="Použitý hypertextový odkaz" xfId="1476" builtinId="9" hidden="1"/>
    <cellStyle name="Použitý hypertextový odkaz" xfId="1478" builtinId="9" hidden="1"/>
    <cellStyle name="Použitý hypertextový odkaz" xfId="1480" builtinId="9" hidden="1"/>
    <cellStyle name="Použitý hypertextový odkaz" xfId="1482" builtinId="9" hidden="1"/>
    <cellStyle name="Použitý hypertextový odkaz" xfId="1484" builtinId="9" hidden="1"/>
    <cellStyle name="Použitý hypertextový odkaz" xfId="1486" builtinId="9" hidden="1"/>
    <cellStyle name="Použitý hypertextový odkaz" xfId="1488" builtinId="9" hidden="1"/>
    <cellStyle name="Použitý hypertextový odkaz" xfId="1490" builtinId="9" hidden="1"/>
    <cellStyle name="Použitý hypertextový odkaz" xfId="1492" builtinId="9" hidden="1"/>
    <cellStyle name="Použitý hypertextový odkaz" xfId="1494" builtinId="9" hidden="1"/>
    <cellStyle name="Použitý hypertextový odkaz" xfId="1496" builtinId="9" hidden="1"/>
    <cellStyle name="Použitý hypertextový odkaz" xfId="1498" builtinId="9" hidden="1"/>
    <cellStyle name="Použitý hypertextový odkaz" xfId="1500" builtinId="9" hidden="1"/>
    <cellStyle name="Použitý hypertextový odkaz" xfId="1502" builtinId="9" hidden="1"/>
    <cellStyle name="Použitý hypertextový odkaz" xfId="1504" builtinId="9" hidden="1"/>
    <cellStyle name="Použitý hypertextový odkaz" xfId="1506" builtinId="9" hidden="1"/>
    <cellStyle name="Použitý hypertextový odkaz" xfId="1508" builtinId="9" hidden="1"/>
    <cellStyle name="Použitý hypertextový odkaz" xfId="1510" builtinId="9" hidden="1"/>
    <cellStyle name="Použitý hypertextový odkaz" xfId="1512" builtinId="9" hidden="1"/>
    <cellStyle name="Použitý hypertextový odkaz" xfId="1514" builtinId="9" hidden="1"/>
    <cellStyle name="Použitý hypertextový odkaz" xfId="1516" builtinId="9" hidden="1"/>
    <cellStyle name="Použitý hypertextový odkaz" xfId="1518" builtinId="9" hidden="1"/>
    <cellStyle name="Použitý hypertextový odkaz" xfId="1520" builtinId="9" hidden="1"/>
    <cellStyle name="Použitý hypertextový odkaz" xfId="1522" builtinId="9" hidden="1"/>
    <cellStyle name="Použitý hypertextový odkaz" xfId="1524" builtinId="9" hidden="1"/>
    <cellStyle name="Použitý hypertextový odkaz" xfId="1526" builtinId="9" hidden="1"/>
    <cellStyle name="Použitý hypertextový odkaz" xfId="1528" builtinId="9" hidden="1"/>
    <cellStyle name="Použitý hypertextový odkaz" xfId="1530" builtinId="9" hidden="1"/>
    <cellStyle name="Použitý hypertextový odkaz" xfId="1532" builtinId="9" hidden="1"/>
    <cellStyle name="Použitý hypertextový odkaz" xfId="1534" builtinId="9" hidden="1"/>
    <cellStyle name="Použitý hypertextový odkaz" xfId="1536" builtinId="9" hidden="1"/>
    <cellStyle name="Použitý hypertextový odkaz" xfId="1538" builtinId="9" hidden="1"/>
    <cellStyle name="Použitý hypertextový odkaz" xfId="1540" builtinId="9" hidden="1"/>
    <cellStyle name="Použitý hypertextový odkaz" xfId="1542" builtinId="9" hidden="1"/>
    <cellStyle name="Použitý hypertextový odkaz" xfId="1544" builtinId="9" hidden="1"/>
    <cellStyle name="Použitý hypertextový odkaz" xfId="1546" builtinId="9" hidden="1"/>
    <cellStyle name="Použitý hypertextový odkaz" xfId="1548" builtinId="9" hidden="1"/>
    <cellStyle name="Použitý hypertextový odkaz" xfId="1550" builtinId="9" hidden="1"/>
    <cellStyle name="Použitý hypertextový odkaz" xfId="1552" builtinId="9" hidden="1"/>
    <cellStyle name="Použitý hypertextový odkaz" xfId="1554" builtinId="9" hidden="1"/>
    <cellStyle name="Použitý hypertextový odkaz" xfId="1556" builtinId="9" hidden="1"/>
    <cellStyle name="Použitý hypertextový odkaz" xfId="1558" builtinId="9" hidden="1"/>
    <cellStyle name="Použitý hypertextový odkaz" xfId="1560" builtinId="9" hidden="1"/>
    <cellStyle name="Použitý hypertextový odkaz" xfId="1562" builtinId="9" hidden="1"/>
    <cellStyle name="Použitý hypertextový odkaz" xfId="1564" builtinId="9" hidden="1"/>
    <cellStyle name="Použitý hypertextový odkaz" xfId="1566" builtinId="9" hidden="1"/>
    <cellStyle name="Použitý hypertextový odkaz" xfId="1568" builtinId="9" hidden="1"/>
    <cellStyle name="Použitý hypertextový odkaz" xfId="1570" builtinId="9" hidden="1"/>
    <cellStyle name="Použitý hypertextový odkaz" xfId="1572" builtinId="9" hidden="1"/>
    <cellStyle name="Použitý hypertextový odkaz" xfId="1574" builtinId="9" hidden="1"/>
    <cellStyle name="Použitý hypertextový odkaz" xfId="1576" builtinId="9" hidden="1"/>
    <cellStyle name="Použitý hypertextový odkaz" xfId="1578" builtinId="9" hidden="1"/>
    <cellStyle name="Použitý hypertextový odkaz" xfId="1580" builtinId="9" hidden="1"/>
    <cellStyle name="Použitý hypertextový odkaz" xfId="1582" builtinId="9" hidden="1"/>
    <cellStyle name="Použitý hypertextový odkaz" xfId="1584" builtinId="9" hidden="1"/>
    <cellStyle name="Použitý hypertextový odkaz" xfId="1586" builtinId="9" hidden="1"/>
    <cellStyle name="Použitý hypertextový odkaz" xfId="1588" builtinId="9" hidden="1"/>
    <cellStyle name="Použitý hypertextový odkaz" xfId="1590" builtinId="9" hidden="1"/>
    <cellStyle name="Použitý hypertextový odkaz" xfId="1592" builtinId="9" hidden="1"/>
    <cellStyle name="Použitý hypertextový odkaz" xfId="1594" builtinId="9" hidden="1"/>
    <cellStyle name="Použitý hypertextový odkaz" xfId="1596" builtinId="9" hidden="1"/>
    <cellStyle name="Použitý hypertextový odkaz" xfId="1598" builtinId="9" hidden="1"/>
    <cellStyle name="Použitý hypertextový odkaz" xfId="1600" builtinId="9" hidden="1"/>
    <cellStyle name="Použitý hypertextový odkaz" xfId="1602" builtinId="9" hidden="1"/>
    <cellStyle name="Použitý hypertextový odkaz" xfId="1604" builtinId="9" hidden="1"/>
    <cellStyle name="Použitý hypertextový odkaz" xfId="1606" builtinId="9" hidden="1"/>
    <cellStyle name="Použitý hypertextový odkaz" xfId="1608" builtinId="9" hidden="1"/>
    <cellStyle name="Použitý hypertextový odkaz" xfId="1610" builtinId="9" hidden="1"/>
    <cellStyle name="Použitý hypertextový odkaz" xfId="1612" builtinId="9" hidden="1"/>
    <cellStyle name="Použitý hypertextový odkaz" xfId="1614" builtinId="9" hidden="1"/>
    <cellStyle name="Použitý hypertextový odkaz" xfId="1616" builtinId="9" hidden="1"/>
    <cellStyle name="Použitý hypertextový odkaz" xfId="1618" builtinId="9" hidden="1"/>
    <cellStyle name="Použitý hypertextový odkaz" xfId="1620" builtinId="9" hidden="1"/>
    <cellStyle name="Použitý hypertextový odkaz" xfId="1622" builtinId="9" hidden="1"/>
    <cellStyle name="Použitý hypertextový odkaz" xfId="1624" builtinId="9" hidden="1"/>
    <cellStyle name="Použitý hypertextový odkaz" xfId="1626" builtinId="9" hidden="1"/>
    <cellStyle name="Použitý hypertextový odkaz" xfId="1628" builtinId="9" hidden="1"/>
    <cellStyle name="Použitý hypertextový odkaz" xfId="1630" builtinId="9" hidden="1"/>
    <cellStyle name="Použitý hypertextový odkaz" xfId="1632" builtinId="9" hidden="1"/>
    <cellStyle name="Použitý hypertextový odkaz" xfId="1634" builtinId="9" hidden="1"/>
    <cellStyle name="Použitý hypertextový odkaz" xfId="1636" builtinId="9" hidden="1"/>
    <cellStyle name="Použitý hypertextový odkaz" xfId="1638" builtinId="9" hidden="1"/>
    <cellStyle name="Použitý hypertextový odkaz" xfId="1640" builtinId="9" hidden="1"/>
    <cellStyle name="Použitý hypertextový odkaz" xfId="1642" builtinId="9" hidden="1"/>
    <cellStyle name="Použitý hypertextový odkaz" xfId="1644" builtinId="9" hidden="1"/>
    <cellStyle name="Použitý hypertextový odkaz" xfId="1646" builtinId="9" hidden="1"/>
    <cellStyle name="Použitý hypertextový odkaz" xfId="1648" builtinId="9" hidden="1"/>
    <cellStyle name="Použitý hypertextový odkaz" xfId="1650" builtinId="9" hidden="1"/>
    <cellStyle name="Použitý hypertextový odkaz" xfId="1652" builtinId="9" hidden="1"/>
    <cellStyle name="Použitý hypertextový odkaz" xfId="1654" builtinId="9" hidden="1"/>
    <cellStyle name="Použitý hypertextový odkaz" xfId="1656" builtinId="9" hidden="1"/>
    <cellStyle name="Použitý hypertextový odkaz" xfId="1658" builtinId="9" hidden="1"/>
    <cellStyle name="Použitý hypertextový odkaz" xfId="1660" builtinId="9" hidden="1"/>
    <cellStyle name="Použitý hypertextový odkaz" xfId="1662" builtinId="9" hidden="1"/>
    <cellStyle name="Použitý hypertextový odkaz" xfId="1664" builtinId="9" hidden="1"/>
    <cellStyle name="Použitý hypertextový odkaz" xfId="1666" builtinId="9" hidden="1"/>
    <cellStyle name="Použitý hypertextový odkaz" xfId="1668" builtinId="9" hidden="1"/>
    <cellStyle name="Použitý hypertextový odkaz" xfId="1670" builtinId="9" hidden="1"/>
    <cellStyle name="Použitý hypertextový odkaz" xfId="1672" builtinId="9" hidden="1"/>
    <cellStyle name="Použitý hypertextový odkaz" xfId="1674" builtinId="9" hidden="1"/>
    <cellStyle name="Použitý hypertextový odkaz" xfId="1676" builtinId="9" hidden="1"/>
    <cellStyle name="Použitý hypertextový odkaz" xfId="1678" builtinId="9" hidden="1"/>
    <cellStyle name="Použitý hypertextový odkaz" xfId="1680" builtinId="9" hidden="1"/>
    <cellStyle name="Použitý hypertextový odkaz" xfId="1682" builtinId="9" hidden="1"/>
    <cellStyle name="Použitý hypertextový odkaz" xfId="1684" builtinId="9" hidden="1"/>
    <cellStyle name="Použitý hypertextový odkaz" xfId="1686" builtinId="9" hidden="1"/>
    <cellStyle name="Použitý hypertextový odkaz" xfId="1688" builtinId="9" hidden="1"/>
    <cellStyle name="Použitý hypertextový odkaz" xfId="1690" builtinId="9" hidden="1"/>
    <cellStyle name="Použitý hypertextový odkaz" xfId="1692" builtinId="9" hidden="1"/>
    <cellStyle name="Použitý hypertextový odkaz" xfId="1694" builtinId="9" hidden="1"/>
    <cellStyle name="Použitý hypertextový odkaz" xfId="1696" builtinId="9" hidden="1"/>
    <cellStyle name="Použitý hypertextový odkaz" xfId="1698" builtinId="9" hidden="1"/>
    <cellStyle name="Použitý hypertextový odkaz" xfId="1700" builtinId="9" hidden="1"/>
    <cellStyle name="Použitý hypertextový odkaz" xfId="1702" builtinId="9" hidden="1"/>
    <cellStyle name="Použitý hypertextový odkaz" xfId="1704" builtinId="9" hidden="1"/>
    <cellStyle name="Použitý hypertextový odkaz" xfId="1706" builtinId="9" hidden="1"/>
    <cellStyle name="Použitý hypertextový odkaz" xfId="1708" builtinId="9" hidden="1"/>
    <cellStyle name="Použitý hypertextový odkaz" xfId="1710" builtinId="9" hidden="1"/>
    <cellStyle name="Použitý hypertextový odkaz" xfId="1712" builtinId="9" hidden="1"/>
    <cellStyle name="Použitý hypertextový odkaz" xfId="1714" builtinId="9" hidden="1"/>
    <cellStyle name="Použitý hypertextový odkaz" xfId="1716" builtinId="9" hidden="1"/>
    <cellStyle name="Použitý hypertextový odkaz" xfId="1718" builtinId="9" hidden="1"/>
    <cellStyle name="Použitý hypertextový odkaz" xfId="1720" builtinId="9" hidden="1"/>
    <cellStyle name="Použitý hypertextový odkaz" xfId="1722" builtinId="9" hidden="1"/>
    <cellStyle name="Použitý hypertextový odkaz" xfId="1724" builtinId="9" hidden="1"/>
    <cellStyle name="Použitý hypertextový odkaz" xfId="1726" builtinId="9" hidden="1"/>
    <cellStyle name="Použitý hypertextový odkaz" xfId="1728" builtinId="9" hidden="1"/>
    <cellStyle name="Použitý hypertextový odkaz" xfId="1730" builtinId="9" hidden="1"/>
    <cellStyle name="Použitý hypertextový odkaz" xfId="1732" builtinId="9" hidden="1"/>
    <cellStyle name="Použitý hypertextový odkaz" xfId="1734" builtinId="9" hidden="1"/>
    <cellStyle name="Použitý hypertextový odkaz" xfId="1736" builtinId="9" hidden="1"/>
    <cellStyle name="Použitý hypertextový odkaz" xfId="1738" builtinId="9" hidden="1"/>
    <cellStyle name="Použitý hypertextový odkaz" xfId="1740" builtinId="9" hidden="1"/>
    <cellStyle name="Použitý hypertextový odkaz" xfId="1742" builtinId="9" hidden="1"/>
    <cellStyle name="Použitý hypertextový odkaz" xfId="1744" builtinId="9" hidden="1"/>
    <cellStyle name="Použitý hypertextový odkaz" xfId="1746" builtinId="9" hidden="1"/>
    <cellStyle name="Použitý hypertextový odkaz" xfId="1748" builtinId="9" hidden="1"/>
    <cellStyle name="Použitý hypertextový odkaz" xfId="1750" builtinId="9" hidden="1"/>
    <cellStyle name="Použitý hypertextový odkaz" xfId="1752" builtinId="9" hidden="1"/>
    <cellStyle name="Použitý hypertextový odkaz" xfId="1754" builtinId="9" hidden="1"/>
    <cellStyle name="Použitý hypertextový odkaz" xfId="1756" builtinId="9" hidden="1"/>
    <cellStyle name="Použitý hypertextový odkaz" xfId="1758" builtinId="9" hidden="1"/>
    <cellStyle name="Použitý hypertextový odkaz" xfId="1760" builtinId="9" hidden="1"/>
    <cellStyle name="Použitý hypertextový odkaz" xfId="1762" builtinId="9" hidden="1"/>
    <cellStyle name="Použitý hypertextový odkaz" xfId="1764" builtinId="9" hidden="1"/>
    <cellStyle name="Použitý hypertextový odkaz" xfId="1766" builtinId="9" hidden="1"/>
    <cellStyle name="Použitý hypertextový odkaz" xfId="1768" builtinId="9" hidden="1"/>
    <cellStyle name="Použitý hypertextový odkaz" xfId="1770" builtinId="9" hidden="1"/>
    <cellStyle name="Použitý hypertextový odkaz" xfId="1772" builtinId="9" hidden="1"/>
    <cellStyle name="Použitý hypertextový odkaz" xfId="1774" builtinId="9" hidden="1"/>
    <cellStyle name="Použitý hypertextový odkaz" xfId="1776" builtinId="9" hidden="1"/>
    <cellStyle name="Použitý hypertextový odkaz" xfId="1778" builtinId="9" hidden="1"/>
    <cellStyle name="Použitý hypertextový odkaz" xfId="1780" builtinId="9" hidden="1"/>
    <cellStyle name="Použitý hypertextový odkaz" xfId="1782" builtinId="9" hidden="1"/>
    <cellStyle name="Použitý hypertextový odkaz" xfId="1784" builtinId="9" hidden="1"/>
    <cellStyle name="Použitý hypertextový odkaz" xfId="1786" builtinId="9" hidden="1"/>
    <cellStyle name="Použitý hypertextový odkaz" xfId="1788" builtinId="9" hidden="1"/>
    <cellStyle name="Použitý hypertextový odkaz" xfId="1790" builtinId="9" hidden="1"/>
    <cellStyle name="Použitý hypertextový odkaz" xfId="1792" builtinId="9" hidden="1"/>
    <cellStyle name="Použitý hypertextový odkaz" xfId="1794" builtinId="9" hidden="1"/>
    <cellStyle name="Použitý hypertextový odkaz" xfId="1796" builtinId="9" hidden="1"/>
    <cellStyle name="Použitý hypertextový odkaz" xfId="1798" builtinId="9" hidden="1"/>
    <cellStyle name="Použitý hypertextový odkaz" xfId="1800" builtinId="9" hidden="1"/>
    <cellStyle name="Použitý hypertextový odkaz" xfId="1802" builtinId="9" hidden="1"/>
    <cellStyle name="Použitý hypertextový odkaz" xfId="1804" builtinId="9" hidden="1"/>
    <cellStyle name="Použitý hypertextový odkaz" xfId="1806" builtinId="9" hidden="1"/>
    <cellStyle name="Použitý hypertextový odkaz" xfId="1808" builtinId="9" hidden="1"/>
    <cellStyle name="Použitý hypertextový odkaz" xfId="1810" builtinId="9" hidden="1"/>
    <cellStyle name="Použitý hypertextový odkaz" xfId="1812" builtinId="9" hidden="1"/>
    <cellStyle name="Použitý hypertextový odkaz" xfId="1814" builtinId="9" hidden="1"/>
    <cellStyle name="Použitý hypertextový odkaz" xfId="1816" builtinId="9" hidden="1"/>
    <cellStyle name="Použitý hypertextový odkaz" xfId="1818" builtinId="9" hidden="1"/>
    <cellStyle name="Použitý hypertextový odkaz" xfId="1820" builtinId="9" hidden="1"/>
    <cellStyle name="Použitý hypertextový odkaz" xfId="1822" builtinId="9" hidden="1"/>
    <cellStyle name="Použitý hypertextový odkaz" xfId="1824" builtinId="9" hidden="1"/>
    <cellStyle name="Použitý hypertextový odkaz" xfId="1826" builtinId="9" hidden="1"/>
    <cellStyle name="Použitý hypertextový odkaz" xfId="1828" builtinId="9" hidden="1"/>
    <cellStyle name="Použitý hypertextový odkaz" xfId="1830" builtinId="9" hidden="1"/>
    <cellStyle name="Použitý hypertextový odkaz" xfId="1832" builtinId="9" hidden="1"/>
    <cellStyle name="Použitý hypertextový odkaz" xfId="1834" builtinId="9" hidden="1"/>
    <cellStyle name="Použitý hypertextový odkaz" xfId="1836" builtinId="9" hidden="1"/>
    <cellStyle name="Použitý hypertextový odkaz" xfId="1838" builtinId="9" hidden="1"/>
    <cellStyle name="Použitý hypertextový odkaz" xfId="1840" builtinId="9" hidden="1"/>
    <cellStyle name="Použitý hypertextový odkaz" xfId="1842" builtinId="9" hidden="1"/>
    <cellStyle name="Použitý hypertextový odkaz" xfId="1844" builtinId="9" hidden="1"/>
    <cellStyle name="Použitý hypertextový odkaz" xfId="1846" builtinId="9" hidden="1"/>
    <cellStyle name="Použitý hypertextový odkaz" xfId="1848" builtinId="9" hidden="1"/>
    <cellStyle name="Použitý hypertextový odkaz" xfId="1850" builtinId="9" hidden="1"/>
    <cellStyle name="Použitý hypertextový odkaz" xfId="1852" builtinId="9" hidden="1"/>
    <cellStyle name="Použitý hypertextový odkaz" xfId="1854" builtinId="9" hidden="1"/>
    <cellStyle name="Použitý hypertextový odkaz" xfId="1856" builtinId="9" hidden="1"/>
    <cellStyle name="Použitý hypertextový odkaz" xfId="1858" builtinId="9" hidden="1"/>
    <cellStyle name="Použitý hypertextový odkaz" xfId="1860" builtinId="9" hidden="1"/>
    <cellStyle name="Použitý hypertextový odkaz" xfId="1862" builtinId="9" hidden="1"/>
    <cellStyle name="Použitý hypertextový odkaz" xfId="1864" builtinId="9" hidden="1"/>
    <cellStyle name="Použitý hypertextový odkaz" xfId="1866" builtinId="9" hidden="1"/>
    <cellStyle name="Použitý hypertextový odkaz" xfId="1868" builtinId="9" hidden="1"/>
    <cellStyle name="Použitý hypertextový odkaz" xfId="1870" builtinId="9" hidden="1"/>
    <cellStyle name="Použitý hypertextový odkaz" xfId="1872" builtinId="9" hidden="1"/>
    <cellStyle name="Použitý hypertextový odkaz" xfId="1874" builtinId="9" hidden="1"/>
    <cellStyle name="Použitý hypertextový odkaz" xfId="1876" builtinId="9" hidden="1"/>
    <cellStyle name="Použitý hypertextový odkaz" xfId="1878" builtinId="9" hidden="1"/>
    <cellStyle name="Použitý hypertextový odkaz" xfId="1880" builtinId="9" hidden="1"/>
    <cellStyle name="Použitý hypertextový odkaz" xfId="1882" builtinId="9" hidden="1"/>
    <cellStyle name="Použitý hypertextový odkaz" xfId="1884" builtinId="9" hidden="1"/>
    <cellStyle name="Použitý hypertextový odkaz" xfId="1886" builtinId="9" hidden="1"/>
    <cellStyle name="Použitý hypertextový odkaz" xfId="1888" builtinId="9" hidden="1"/>
    <cellStyle name="Použitý hypertextový odkaz" xfId="1890" builtinId="9" hidden="1"/>
    <cellStyle name="Použitý hypertextový odkaz" xfId="1892" builtinId="9" hidden="1"/>
    <cellStyle name="Použitý hypertextový odkaz" xfId="1894" builtinId="9" hidden="1"/>
    <cellStyle name="Použitý hypertextový odkaz" xfId="1896" builtinId="9" hidden="1"/>
    <cellStyle name="Použitý hypertextový odkaz" xfId="1898" builtinId="9" hidden="1"/>
    <cellStyle name="Použitý hypertextový odkaz" xfId="1900" builtinId="9" hidden="1"/>
    <cellStyle name="Použitý hypertextový odkaz" xfId="1902" builtinId="9" hidden="1"/>
    <cellStyle name="Použitý hypertextový odkaz" xfId="1904" builtinId="9" hidden="1"/>
    <cellStyle name="Použitý hypertextový odkaz" xfId="1906" builtinId="9" hidden="1"/>
    <cellStyle name="Použitý hypertextový odkaz" xfId="1908" builtinId="9" hidden="1"/>
    <cellStyle name="Použitý hypertextový odkaz" xfId="1910" builtinId="9" hidden="1"/>
    <cellStyle name="Použitý hypertextový odkaz" xfId="1912" builtinId="9" hidden="1"/>
    <cellStyle name="Použitý hypertextový odkaz" xfId="1914" builtinId="9" hidden="1"/>
    <cellStyle name="Použitý hypertextový odkaz" xfId="1916" builtinId="9" hidden="1"/>
    <cellStyle name="Použitý hypertextový odkaz" xfId="1918" builtinId="9" hidden="1"/>
    <cellStyle name="Použitý hypertextový odkaz" xfId="1920" builtinId="9" hidden="1"/>
    <cellStyle name="Použitý hypertextový odkaz" xfId="1922" builtinId="9" hidden="1"/>
    <cellStyle name="Použitý hypertextový odkaz" xfId="1924" builtinId="9" hidden="1"/>
    <cellStyle name="Použitý hypertextový odkaz" xfId="1926" builtinId="9" hidden="1"/>
    <cellStyle name="Použitý hypertextový odkaz" xfId="1928" builtinId="9" hidden="1"/>
    <cellStyle name="Použitý hypertextový odkaz" xfId="1930" builtinId="9" hidden="1"/>
    <cellStyle name="Použitý hypertextový odkaz" xfId="1932" builtinId="9" hidden="1"/>
    <cellStyle name="Použitý hypertextový odkaz" xfId="1934" builtinId="9" hidden="1"/>
    <cellStyle name="Použitý hypertextový odkaz" xfId="1936" builtinId="9" hidden="1"/>
    <cellStyle name="Použitý hypertextový odkaz" xfId="1938" builtinId="9" hidden="1"/>
    <cellStyle name="Použitý hypertextový odkaz" xfId="1940" builtinId="9" hidden="1"/>
    <cellStyle name="Použitý hypertextový odkaz" xfId="1942" builtinId="9" hidden="1"/>
    <cellStyle name="Použitý hypertextový odkaz" xfId="1944" builtinId="9" hidden="1"/>
    <cellStyle name="Použitý hypertextový odkaz" xfId="1946" builtinId="9" hidden="1"/>
    <cellStyle name="Použitý hypertextový odkaz" xfId="1948" builtinId="9" hidden="1"/>
    <cellStyle name="Použitý hypertextový odkaz" xfId="1950" builtinId="9" hidden="1"/>
    <cellStyle name="Použitý hypertextový odkaz" xfId="1952" builtinId="9" hidden="1"/>
    <cellStyle name="Použitý hypertextový odkaz" xfId="1954" builtinId="9" hidden="1"/>
    <cellStyle name="Použitý hypertextový odkaz" xfId="1956" builtinId="9" hidden="1"/>
    <cellStyle name="Použitý hypertextový odkaz" xfId="1958" builtinId="9" hidden="1"/>
    <cellStyle name="Použitý hypertextový odkaz" xfId="1960" builtinId="9" hidden="1"/>
    <cellStyle name="Použitý hypertextový odkaz" xfId="1962" builtinId="9" hidden="1"/>
    <cellStyle name="Použitý hypertextový odkaz" xfId="1964" builtinId="9" hidden="1"/>
    <cellStyle name="Použitý hypertextový odkaz" xfId="1966" builtinId="9" hidden="1"/>
    <cellStyle name="Použitý hypertextový odkaz" xfId="1968" builtinId="9" hidden="1"/>
    <cellStyle name="Použitý hypertextový odkaz" xfId="1970" builtinId="9" hidden="1"/>
    <cellStyle name="Použitý hypertextový odkaz" xfId="1972" builtinId="9" hidden="1"/>
    <cellStyle name="Použitý hypertextový odkaz" xfId="1974" builtinId="9" hidden="1"/>
    <cellStyle name="Použitý hypertextový odkaz" xfId="1976" builtinId="9" hidden="1"/>
    <cellStyle name="Použitý hypertextový odkaz" xfId="1978" builtinId="9" hidden="1"/>
    <cellStyle name="Použitý hypertextový odkaz" xfId="1980" builtinId="9" hidden="1"/>
    <cellStyle name="Použitý hypertextový odkaz" xfId="1982" builtinId="9" hidden="1"/>
    <cellStyle name="Použitý hypertextový odkaz" xfId="1984" builtinId="9" hidden="1"/>
    <cellStyle name="Použitý hypertextový odkaz" xfId="1986" builtinId="9" hidden="1"/>
    <cellStyle name="Použitý hypertextový odkaz" xfId="1988" builtinId="9" hidden="1"/>
    <cellStyle name="Použitý hypertextový odkaz" xfId="1990" builtinId="9" hidden="1"/>
    <cellStyle name="Použitý hypertextový odkaz" xfId="1992" builtinId="9" hidden="1"/>
    <cellStyle name="Použitý hypertextový odkaz" xfId="1994" builtinId="9" hidden="1"/>
    <cellStyle name="Použitý hypertextový odkaz" xfId="1996" builtinId="9" hidden="1"/>
    <cellStyle name="Použitý hypertextový odkaz" xfId="1998" builtinId="9" hidden="1"/>
    <cellStyle name="Použitý hypertextový odkaz" xfId="2000" builtinId="9" hidden="1"/>
    <cellStyle name="Použitý hypertextový odkaz" xfId="2002" builtinId="9" hidden="1"/>
    <cellStyle name="Použitý hypertextový odkaz" xfId="2004" builtinId="9" hidden="1"/>
    <cellStyle name="Použitý hypertextový odkaz" xfId="2006" builtinId="9" hidden="1"/>
    <cellStyle name="Použitý hypertextový odkaz" xfId="2008" builtinId="9" hidden="1"/>
    <cellStyle name="Použitý hypertextový odkaz" xfId="2010" builtinId="9" hidden="1"/>
    <cellStyle name="Použitý hypertextový odkaz" xfId="2012" builtinId="9" hidden="1"/>
    <cellStyle name="Použitý hypertextový odkaz" xfId="2014" builtinId="9" hidden="1"/>
    <cellStyle name="Použitý hypertextový odkaz" xfId="2016" builtinId="9" hidden="1"/>
    <cellStyle name="Použitý hypertextový odkaz" xfId="2018" builtinId="9" hidden="1"/>
    <cellStyle name="Použitý hypertextový odkaz" xfId="2020" builtinId="9" hidden="1"/>
    <cellStyle name="Použitý hypertextový odkaz" xfId="2022" builtinId="9" hidden="1"/>
    <cellStyle name="Použitý hypertextový odkaz" xfId="2024" builtinId="9" hidden="1"/>
    <cellStyle name="Použitý hypertextový odkaz" xfId="2026" builtinId="9" hidden="1"/>
    <cellStyle name="Použitý hypertextový odkaz" xfId="2028" builtinId="9" hidden="1"/>
    <cellStyle name="Použitý hypertextový odkaz" xfId="2030" builtinId="9" hidden="1"/>
    <cellStyle name="Použitý hypertextový odkaz" xfId="2032" builtinId="9" hidden="1"/>
    <cellStyle name="Použitý hypertextový odkaz" xfId="2034" builtinId="9" hidden="1"/>
    <cellStyle name="Použitý hypertextový odkaz" xfId="2036" builtinId="9" hidden="1"/>
    <cellStyle name="Použitý hypertextový odkaz" xfId="2038" builtinId="9" hidden="1"/>
    <cellStyle name="Použitý hypertextový odkaz" xfId="2040" builtinId="9" hidden="1"/>
    <cellStyle name="Použitý hypertextový odkaz" xfId="2042" builtinId="9" hidden="1"/>
    <cellStyle name="Použitý hypertextový odkaz" xfId="2044" builtinId="9" hidden="1"/>
    <cellStyle name="Použitý hypertextový odkaz" xfId="2046" builtinId="9" hidden="1"/>
    <cellStyle name="Použitý hypertextový odkaz" xfId="2048" builtinId="9" hidden="1"/>
    <cellStyle name="Použitý hypertextový odkaz" xfId="2050" builtinId="9" hidden="1"/>
    <cellStyle name="Použitý hypertextový odkaz" xfId="2052" builtinId="9" hidden="1"/>
    <cellStyle name="Použitý hypertextový odkaz" xfId="2054" builtinId="9" hidden="1"/>
    <cellStyle name="Použitý hypertextový odkaz" xfId="2056" builtinId="9" hidden="1"/>
    <cellStyle name="Použitý hypertextový odkaz" xfId="2058" builtinId="9" hidden="1"/>
    <cellStyle name="Použitý hypertextový odkaz" xfId="2060" builtinId="9" hidden="1"/>
    <cellStyle name="Použitý hypertextový odkaz" xfId="2062" builtinId="9" hidden="1"/>
    <cellStyle name="Použitý hypertextový odkaz" xfId="2064" builtinId="9" hidden="1"/>
    <cellStyle name="Použitý hypertextový odkaz" xfId="2066" builtinId="9" hidden="1"/>
    <cellStyle name="Použitý hypertextový odkaz" xfId="2068" builtinId="9" hidden="1"/>
    <cellStyle name="Použitý hypertextový odkaz" xfId="2070" builtinId="9" hidden="1"/>
    <cellStyle name="Použitý hypertextový odkaz" xfId="2072" builtinId="9" hidden="1"/>
    <cellStyle name="Použitý hypertextový odkaz" xfId="2074" builtinId="9" hidden="1"/>
    <cellStyle name="Použitý hypertextový odkaz" xfId="2076" builtinId="9" hidden="1"/>
    <cellStyle name="Použitý hypertextový odkaz" xfId="2078" builtinId="9" hidden="1"/>
    <cellStyle name="Použitý hypertextový odkaz" xfId="2080" builtinId="9" hidden="1"/>
    <cellStyle name="Použitý hypertextový odkaz" xfId="2082" builtinId="9" hidden="1"/>
    <cellStyle name="Použitý hypertextový odkaz" xfId="2084" builtinId="9" hidden="1"/>
    <cellStyle name="Použitý hypertextový odkaz" xfId="2086" builtinId="9" hidden="1"/>
    <cellStyle name="Použitý hypertextový odkaz" xfId="2088" builtinId="9" hidden="1"/>
    <cellStyle name="Použitý hypertextový odkaz" xfId="2090" builtinId="9" hidden="1"/>
    <cellStyle name="Použitý hypertextový odkaz" xfId="2092" builtinId="9" hidden="1"/>
    <cellStyle name="Použitý hypertextový odkaz" xfId="2094" builtinId="9" hidden="1"/>
    <cellStyle name="Použitý hypertextový odkaz" xfId="2096" builtinId="9" hidden="1"/>
    <cellStyle name="Použitý hypertextový odkaz" xfId="2098" builtinId="9" hidden="1"/>
    <cellStyle name="Použitý hypertextový odkaz" xfId="2100" builtinId="9" hidden="1"/>
    <cellStyle name="Použitý hypertextový odkaz" xfId="2102" builtinId="9" hidden="1"/>
    <cellStyle name="Použitý hypertextový odkaz" xfId="2104" builtinId="9" hidden="1"/>
    <cellStyle name="Použitý hypertextový odkaz" xfId="2106" builtinId="9" hidden="1"/>
    <cellStyle name="Použitý hypertextový odkaz" xfId="2108" builtinId="9" hidden="1"/>
    <cellStyle name="Použitý hypertextový odkaz" xfId="2110" builtinId="9" hidden="1"/>
    <cellStyle name="Použitý hypertextový odkaz" xfId="2112" builtinId="9" hidden="1"/>
    <cellStyle name="Použitý hypertextový odkaz" xfId="2114" builtinId="9" hidden="1"/>
    <cellStyle name="Použitý hypertextový odkaz" xfId="2116" builtinId="9" hidden="1"/>
    <cellStyle name="Použitý hypertextový odkaz" xfId="2118" builtinId="9" hidden="1"/>
    <cellStyle name="Použitý hypertextový odkaz" xfId="2120" builtinId="9" hidden="1"/>
    <cellStyle name="Použitý hypertextový odkaz" xfId="2122" builtinId="9" hidden="1"/>
    <cellStyle name="Použitý hypertextový odkaz" xfId="2124" builtinId="9" hidden="1"/>
    <cellStyle name="Použitý hypertextový odkaz" xfId="2126" builtinId="9" hidden="1"/>
    <cellStyle name="Použitý hypertextový odkaz" xfId="2128" builtinId="9" hidden="1"/>
    <cellStyle name="Použitý hypertextový odkaz" xfId="2130" builtinId="9" hidden="1"/>
    <cellStyle name="Použitý hypertextový odkaz" xfId="2132" builtinId="9" hidden="1"/>
    <cellStyle name="Použitý hypertextový odkaz" xfId="2134" builtinId="9" hidden="1"/>
    <cellStyle name="Použitý hypertextový odkaz" xfId="2136" builtinId="9" hidden="1"/>
    <cellStyle name="Použitý hypertextový odkaz" xfId="2138" builtinId="9" hidden="1"/>
    <cellStyle name="Použitý hypertextový odkaz" xfId="2140" builtinId="9" hidden="1"/>
    <cellStyle name="Použitý hypertextový odkaz" xfId="2142" builtinId="9" hidden="1"/>
    <cellStyle name="Použitý hypertextový odkaz" xfId="2144" builtinId="9" hidden="1"/>
    <cellStyle name="Použitý hypertextový odkaz" xfId="2146" builtinId="9" hidden="1"/>
    <cellStyle name="Použitý hypertextový odkaz" xfId="2148" builtinId="9" hidden="1"/>
    <cellStyle name="Použitý hypertextový odkaz" xfId="2150" builtinId="9" hidden="1"/>
    <cellStyle name="Použitý hypertextový odkaz" xfId="2152" builtinId="9" hidden="1"/>
    <cellStyle name="Použitý hypertextový odkaz" xfId="2154" builtinId="9" hidden="1"/>
    <cellStyle name="Použitý hypertextový odkaz" xfId="2156" builtinId="9" hidden="1"/>
    <cellStyle name="Použitý hypertextový odkaz" xfId="2158" builtinId="9" hidden="1"/>
    <cellStyle name="Použitý hypertextový odkaz" xfId="2160" builtinId="9" hidden="1"/>
    <cellStyle name="Použitý hypertextový odkaz" xfId="2162" builtinId="9" hidden="1"/>
    <cellStyle name="Použitý hypertextový odkaz" xfId="2164" builtinId="9" hidden="1"/>
    <cellStyle name="Použitý hypertextový odkaz" xfId="2166" builtinId="9" hidden="1"/>
    <cellStyle name="Použitý hypertextový odkaz" xfId="2168" builtinId="9" hidden="1"/>
    <cellStyle name="Použitý hypertextový odkaz" xfId="2170" builtinId="9" hidden="1"/>
    <cellStyle name="Použitý hypertextový odkaz" xfId="2172" builtinId="9" hidden="1"/>
    <cellStyle name="Použitý hypertextový odkaz" xfId="2174" builtinId="9" hidden="1"/>
    <cellStyle name="Použitý hypertextový odkaz" xfId="2176" builtinId="9" hidden="1"/>
    <cellStyle name="Použitý hypertextový odkaz" xfId="2178" builtinId="9" hidden="1"/>
    <cellStyle name="Použitý hypertextový odkaz" xfId="2180" builtinId="9" hidden="1"/>
    <cellStyle name="Použitý hypertextový odkaz" xfId="2182" builtinId="9" hidden="1"/>
    <cellStyle name="Použitý hypertextový odkaz" xfId="2184" builtinId="9" hidden="1"/>
    <cellStyle name="Použitý hypertextový odkaz" xfId="2186" builtinId="9" hidden="1"/>
    <cellStyle name="Použitý hypertextový odkaz" xfId="2188" builtinId="9" hidden="1"/>
    <cellStyle name="Použitý hypertextový odkaz" xfId="2190" builtinId="9" hidden="1"/>
    <cellStyle name="Použitý hypertextový odkaz" xfId="2192" builtinId="9" hidden="1"/>
    <cellStyle name="Použitý hypertextový odkaz" xfId="2194" builtinId="9" hidden="1"/>
    <cellStyle name="Použitý hypertextový odkaz" xfId="2196" builtinId="9" hidden="1"/>
    <cellStyle name="Použitý hypertextový odkaz" xfId="2198" builtinId="9" hidden="1"/>
    <cellStyle name="Použitý hypertextový odkaz" xfId="2200" builtinId="9" hidden="1"/>
    <cellStyle name="Použitý hypertextový odkaz" xfId="2202" builtinId="9" hidden="1"/>
    <cellStyle name="Použitý hypertextový odkaz" xfId="2204" builtinId="9" hidden="1"/>
    <cellStyle name="Použitý hypertextový odkaz" xfId="2206" builtinId="9" hidden="1"/>
    <cellStyle name="Použitý hypertextový odkaz" xfId="2208" builtinId="9" hidden="1"/>
    <cellStyle name="Použitý hypertextový odkaz" xfId="2210" builtinId="9" hidden="1"/>
    <cellStyle name="Použitý hypertextový odkaz" xfId="2212" builtinId="9" hidden="1"/>
    <cellStyle name="Použitý hypertextový odkaz" xfId="2214" builtinId="9" hidden="1"/>
    <cellStyle name="Použitý hypertextový odkaz" xfId="2216" builtinId="9" hidden="1"/>
    <cellStyle name="Použitý hypertextový odkaz" xfId="2218" builtinId="9" hidden="1"/>
    <cellStyle name="Použitý hypertextový odkaz" xfId="2220" builtinId="9" hidden="1"/>
    <cellStyle name="Použitý hypertextový odkaz" xfId="2222" builtinId="9" hidden="1"/>
    <cellStyle name="Použitý hypertextový odkaz" xfId="2224" builtinId="9" hidden="1"/>
    <cellStyle name="Použitý hypertextový odkaz" xfId="2226" builtinId="9" hidden="1"/>
    <cellStyle name="Použitý hypertextový odkaz" xfId="2228" builtinId="9" hidden="1"/>
    <cellStyle name="Použitý hypertextový odkaz" xfId="2230" builtinId="9" hidden="1"/>
    <cellStyle name="Použitý hypertextový odkaz" xfId="2232" builtinId="9" hidden="1"/>
    <cellStyle name="Použitý hypertextový odkaz" xfId="2234" builtinId="9" hidden="1"/>
    <cellStyle name="Použitý hypertextový odkaz" xfId="2236" builtinId="9" hidden="1"/>
    <cellStyle name="Použitý hypertextový odkaz" xfId="2238" builtinId="9" hidden="1"/>
    <cellStyle name="Použitý hypertextový odkaz" xfId="2240" builtinId="9" hidden="1"/>
    <cellStyle name="Použitý hypertextový odkaz" xfId="2242" builtinId="9" hidden="1"/>
    <cellStyle name="Použitý hypertextový odkaz" xfId="2244" builtinId="9" hidden="1"/>
    <cellStyle name="Použitý hypertextový odkaz" xfId="2246" builtinId="9" hidden="1"/>
    <cellStyle name="Použitý hypertextový odkaz" xfId="2248" builtinId="9" hidden="1"/>
    <cellStyle name="Použitý hypertextový odkaz" xfId="2250" builtinId="9" hidden="1"/>
    <cellStyle name="Použitý hypertextový odkaz" xfId="2252" builtinId="9" hidden="1"/>
    <cellStyle name="Použitý hypertextový odkaz" xfId="2254" builtinId="9" hidden="1"/>
    <cellStyle name="Použitý hypertextový odkaz" xfId="2256" builtinId="9" hidden="1"/>
    <cellStyle name="Použitý hypertextový odkaz" xfId="2258" builtinId="9" hidden="1"/>
    <cellStyle name="Použitý hypertextový odkaz" xfId="2260" builtinId="9" hidden="1"/>
    <cellStyle name="Použitý hypertextový odkaz" xfId="2262" builtinId="9" hidden="1"/>
    <cellStyle name="Použitý hypertextový odkaz" xfId="2264" builtinId="9" hidden="1"/>
    <cellStyle name="Použitý hypertextový odkaz" xfId="2266" builtinId="9" hidden="1"/>
    <cellStyle name="Použitý hypertextový odkaz" xfId="2268" builtinId="9" hidden="1"/>
    <cellStyle name="Použitý hypertextový odkaz" xfId="2270" builtinId="9" hidden="1"/>
    <cellStyle name="Použitý hypertextový odkaz" xfId="2272" builtinId="9" hidden="1"/>
    <cellStyle name="Použitý hypertextový odkaz" xfId="2274" builtinId="9" hidden="1"/>
    <cellStyle name="Použitý hypertextový odkaz" xfId="2276" builtinId="9" hidden="1"/>
    <cellStyle name="Použitý hypertextový odkaz" xfId="2278" builtinId="9" hidden="1"/>
    <cellStyle name="Použitý hypertextový odkaz" xfId="2280" builtinId="9" hidden="1"/>
    <cellStyle name="Použitý hypertextový odkaz" xfId="2282" builtinId="9" hidden="1"/>
    <cellStyle name="Použitý hypertextový odkaz" xfId="2284" builtinId="9" hidden="1"/>
    <cellStyle name="Použitý hypertextový odkaz" xfId="2286" builtinId="9" hidden="1"/>
    <cellStyle name="Použitý hypertextový odkaz" xfId="2288" builtinId="9" hidden="1"/>
    <cellStyle name="Použitý hypertextový odkaz" xfId="2290" builtinId="9" hidden="1"/>
    <cellStyle name="Použitý hypertextový odkaz" xfId="2292" builtinId="9" hidden="1"/>
    <cellStyle name="Použitý hypertextový odkaz" xfId="2294" builtinId="9" hidden="1"/>
    <cellStyle name="Použitý hypertextový odkaz" xfId="2296" builtinId="9" hidden="1"/>
    <cellStyle name="Použitý hypertextový odkaz" xfId="2298" builtinId="9" hidden="1"/>
    <cellStyle name="Použitý hypertextový odkaz" xfId="2300" builtinId="9" hidden="1"/>
    <cellStyle name="Použitý hypertextový odkaz" xfId="2302" builtinId="9" hidden="1"/>
    <cellStyle name="Použitý hypertextový odkaz" xfId="2304" builtinId="9" hidden="1"/>
    <cellStyle name="Použitý hypertextový odkaz" xfId="2306" builtinId="9" hidden="1"/>
    <cellStyle name="Použitý hypertextový odkaz" xfId="2308" builtinId="9" hidden="1"/>
    <cellStyle name="Použitý hypertextový odkaz" xfId="2310" builtinId="9" hidden="1"/>
    <cellStyle name="Použitý hypertextový odkaz" xfId="2312" builtinId="9" hidden="1"/>
    <cellStyle name="Použitý hypertextový odkaz" xfId="2314" builtinId="9" hidden="1"/>
    <cellStyle name="Použitý hypertextový odkaz" xfId="2316" builtinId="9" hidden="1"/>
    <cellStyle name="Použitý hypertextový odkaz" xfId="2318" builtinId="9" hidden="1"/>
    <cellStyle name="Použitý hypertextový odkaz" xfId="2320" builtinId="9" hidden="1"/>
    <cellStyle name="Použitý hypertextový odkaz" xfId="2322" builtinId="9" hidden="1"/>
    <cellStyle name="Použitý hypertextový odkaz" xfId="2324" builtinId="9" hidden="1"/>
    <cellStyle name="Použitý hypertextový odkaz" xfId="2326" builtinId="9" hidden="1"/>
    <cellStyle name="Použitý hypertextový odkaz" xfId="2328" builtinId="9" hidden="1"/>
    <cellStyle name="Použitý hypertextový odkaz" xfId="2330" builtinId="9" hidden="1"/>
    <cellStyle name="Použitý hypertextový odkaz" xfId="2332" builtinId="9" hidden="1"/>
    <cellStyle name="Použitý hypertextový odkaz" xfId="2334" builtinId="9" hidden="1"/>
    <cellStyle name="Použitý hypertextový odkaz" xfId="2336" builtinId="9" hidden="1"/>
    <cellStyle name="Použitý hypertextový odkaz" xfId="2338" builtinId="9" hidden="1"/>
    <cellStyle name="Použitý hypertextový odkaz" xfId="2340" builtinId="9" hidden="1"/>
    <cellStyle name="Použitý hypertextový odkaz" xfId="2342" builtinId="9" hidden="1"/>
    <cellStyle name="Použitý hypertextový odkaz" xfId="2344" builtinId="9" hidden="1"/>
    <cellStyle name="Použitý hypertextový odkaz" xfId="2346" builtinId="9" hidden="1"/>
    <cellStyle name="Použitý hypertextový odkaz" xfId="2348" builtinId="9" hidden="1"/>
    <cellStyle name="Použitý hypertextový odkaz" xfId="2350" builtinId="9" hidden="1"/>
    <cellStyle name="Použitý hypertextový odkaz" xfId="2352" builtinId="9" hidden="1"/>
    <cellStyle name="Použitý hypertextový odkaz" xfId="2354" builtinId="9" hidden="1"/>
    <cellStyle name="Použitý hypertextový odkaz" xfId="2356" builtinId="9" hidden="1"/>
    <cellStyle name="Použitý hypertextový odkaz" xfId="2358" builtinId="9" hidden="1"/>
    <cellStyle name="Použitý hypertextový odkaz" xfId="2360" builtinId="9" hidden="1"/>
    <cellStyle name="Použitý hypertextový odkaz" xfId="2362" builtinId="9" hidden="1"/>
    <cellStyle name="Použitý hypertextový odkaz" xfId="2364" builtinId="9" hidden="1"/>
    <cellStyle name="Použitý hypertextový odkaz" xfId="2366" builtinId="9" hidden="1"/>
    <cellStyle name="Použitý hypertextový odkaz" xfId="2368" builtinId="9" hidden="1"/>
    <cellStyle name="Použitý hypertextový odkaz" xfId="2370" builtinId="9" hidden="1"/>
    <cellStyle name="Použitý hypertextový odkaz" xfId="2372" builtinId="9" hidden="1"/>
    <cellStyle name="Použitý hypertextový odkaz" xfId="2374" builtinId="9" hidden="1"/>
    <cellStyle name="Použitý hypertextový odkaz" xfId="2376" builtinId="9" hidden="1"/>
    <cellStyle name="Použitý hypertextový odkaz" xfId="2378" builtinId="9" hidden="1"/>
    <cellStyle name="Použitý hypertextový odkaz" xfId="2380" builtinId="9" hidden="1"/>
    <cellStyle name="Použitý hypertextový odkaz" xfId="2382" builtinId="9" hidden="1"/>
    <cellStyle name="Použitý hypertextový odkaz" xfId="2384" builtinId="9" hidden="1"/>
    <cellStyle name="Použitý hypertextový odkaz" xfId="2386" builtinId="9" hidden="1"/>
    <cellStyle name="Použitý hypertextový odkaz" xfId="2388" builtinId="9" hidden="1"/>
    <cellStyle name="Použitý hypertextový odkaz" xfId="2390" builtinId="9" hidden="1"/>
    <cellStyle name="Použitý hypertextový odkaz" xfId="2392" builtinId="9" hidden="1"/>
    <cellStyle name="Použitý hypertextový odkaz" xfId="2394" builtinId="9" hidden="1"/>
    <cellStyle name="Použitý hypertextový odkaz" xfId="2396" builtinId="9" hidden="1"/>
    <cellStyle name="Použitý hypertextový odkaz" xfId="2398" builtinId="9" hidden="1"/>
    <cellStyle name="Použitý hypertextový odkaz" xfId="2400" builtinId="9" hidden="1"/>
    <cellStyle name="Použitý hypertextový odkaz" xfId="2402" builtinId="9" hidden="1"/>
    <cellStyle name="Použitý hypertextový odkaz" xfId="2404" builtinId="9" hidden="1"/>
    <cellStyle name="Použitý hypertextový odkaz" xfId="2406" builtinId="9" hidden="1"/>
    <cellStyle name="Použitý hypertextový odkaz" xfId="2408" builtinId="9" hidden="1"/>
    <cellStyle name="Použitý hypertextový odkaz" xfId="2410" builtinId="9" hidden="1"/>
    <cellStyle name="Použitý hypertextový odkaz" xfId="2412" builtinId="9" hidden="1"/>
    <cellStyle name="Použitý hypertextový odkaz" xfId="2414" builtinId="9" hidden="1"/>
    <cellStyle name="Použitý hypertextový odkaz" xfId="2416" builtinId="9" hidden="1"/>
    <cellStyle name="Použitý hypertextový odkaz" xfId="2418" builtinId="9" hidden="1"/>
    <cellStyle name="Použitý hypertextový odkaz" xfId="2420" builtinId="9" hidden="1"/>
    <cellStyle name="Použitý hypertextový odkaz" xfId="2422" builtinId="9" hidden="1"/>
    <cellStyle name="Použitý hypertextový odkaz" xfId="2424" builtinId="9" hidden="1"/>
    <cellStyle name="Použitý hypertextový odkaz" xfId="2426" builtinId="9" hidden="1"/>
    <cellStyle name="Použitý hypertextový odkaz" xfId="2428" builtinId="9" hidden="1"/>
    <cellStyle name="Použitý hypertextový odkaz" xfId="2430" builtinId="9" hidden="1"/>
    <cellStyle name="Použitý hypertextový odkaz" xfId="2432" builtinId="9" hidden="1"/>
    <cellStyle name="Použitý hypertextový odkaz" xfId="2434" builtinId="9" hidden="1"/>
    <cellStyle name="Použitý hypertextový odkaz" xfId="2436" builtinId="9" hidden="1"/>
    <cellStyle name="Použitý hypertextový odkaz" xfId="2438" builtinId="9" hidden="1"/>
    <cellStyle name="Použitý hypertextový odkaz" xfId="2440" builtinId="9" hidden="1"/>
    <cellStyle name="Použitý hypertextový odkaz" xfId="2442" builtinId="9" hidden="1"/>
    <cellStyle name="Použitý hypertextový odkaz" xfId="2444" builtinId="9" hidden="1"/>
    <cellStyle name="Použitý hypertextový odkaz" xfId="2446" builtinId="9" hidden="1"/>
    <cellStyle name="Použitý hypertextový odkaz" xfId="2448" builtinId="9" hidden="1"/>
    <cellStyle name="Použitý hypertextový odkaz" xfId="2450" builtinId="9" hidden="1"/>
    <cellStyle name="Použitý hypertextový odkaz" xfId="2452" builtinId="9" hidden="1"/>
    <cellStyle name="Použitý hypertextový odkaz" xfId="2454" builtinId="9" hidden="1"/>
    <cellStyle name="Použitý hypertextový odkaz" xfId="2456" builtinId="9" hidden="1"/>
    <cellStyle name="Použitý hypertextový odkaz" xfId="2458" builtinId="9" hidden="1"/>
    <cellStyle name="Použitý hypertextový odkaz" xfId="2460" builtinId="9" hidden="1"/>
    <cellStyle name="Použitý hypertextový odkaz" xfId="2462" builtinId="9" hidden="1"/>
    <cellStyle name="Použitý hypertextový odkaz" xfId="2464" builtinId="9" hidden="1"/>
    <cellStyle name="Použitý hypertextový odkaz" xfId="2466" builtinId="9" hidden="1"/>
    <cellStyle name="Použitý hypertextový odkaz" xfId="2468" builtinId="9" hidden="1"/>
    <cellStyle name="Použitý hypertextový odkaz" xfId="2470" builtinId="9" hidden="1"/>
    <cellStyle name="Použitý hypertextový odkaz" xfId="2472" builtinId="9" hidden="1"/>
    <cellStyle name="Použitý hypertextový odkaz" xfId="2474" builtinId="9" hidden="1"/>
    <cellStyle name="Použitý hypertextový odkaz" xfId="2476" builtinId="9" hidden="1"/>
    <cellStyle name="Použitý hypertextový odkaz" xfId="2478" builtinId="9" hidden="1"/>
    <cellStyle name="Použitý hypertextový odkaz" xfId="2480" builtinId="9" hidden="1"/>
    <cellStyle name="Použitý hypertextový odkaz" xfId="2482" builtinId="9" hidden="1"/>
    <cellStyle name="Použitý hypertextový odkaz" xfId="2484" builtinId="9" hidden="1"/>
    <cellStyle name="Použitý hypertextový odkaz" xfId="2486" builtinId="9" hidden="1"/>
    <cellStyle name="Použitý hypertextový odkaz" xfId="2488" builtinId="9" hidden="1"/>
    <cellStyle name="Použitý hypertextový odkaz" xfId="2490" builtinId="9" hidden="1"/>
    <cellStyle name="Použitý hypertextový odkaz" xfId="2492" builtinId="9" hidden="1"/>
    <cellStyle name="Použitý hypertextový odkaz" xfId="2494" builtinId="9" hidden="1"/>
    <cellStyle name="Použitý hypertextový odkaz" xfId="2496" builtinId="9" hidden="1"/>
    <cellStyle name="Použitý hypertextový odkaz" xfId="2498" builtinId="9" hidden="1"/>
    <cellStyle name="Použitý hypertextový odkaz" xfId="2500" builtinId="9" hidden="1"/>
    <cellStyle name="Použitý hypertextový odkaz" xfId="2502" builtinId="9" hidden="1"/>
    <cellStyle name="Použitý hypertextový odkaz" xfId="2504" builtinId="9" hidden="1"/>
    <cellStyle name="Použitý hypertextový odkaz" xfId="2506" builtinId="9" hidden="1"/>
    <cellStyle name="Použitý hypertextový odkaz" xfId="2508" builtinId="9" hidden="1"/>
    <cellStyle name="Použitý hypertextový odkaz" xfId="2510" builtinId="9" hidden="1"/>
    <cellStyle name="Použitý hypertextový odkaz" xfId="2512" builtinId="9" hidden="1"/>
    <cellStyle name="Použitý hypertextový odkaz" xfId="2514" builtinId="9" hidden="1"/>
    <cellStyle name="Použitý hypertextový odkaz" xfId="2516" builtinId="9" hidden="1"/>
    <cellStyle name="Použitý hypertextový odkaz" xfId="2518" builtinId="9" hidden="1"/>
    <cellStyle name="Použitý hypertextový odkaz" xfId="2520" builtinId="9" hidden="1"/>
    <cellStyle name="Použitý hypertextový odkaz" xfId="2522" builtinId="9" hidden="1"/>
    <cellStyle name="Použitý hypertextový odkaz" xfId="2524" builtinId="9" hidden="1"/>
    <cellStyle name="Použitý hypertextový odkaz" xfId="2526" builtinId="9" hidden="1"/>
    <cellStyle name="Použitý hypertextový odkaz" xfId="2528" builtinId="9" hidden="1"/>
    <cellStyle name="Použitý hypertextový odkaz" xfId="2530" builtinId="9" hidden="1"/>
    <cellStyle name="Použitý hypertextový odkaz" xfId="2532" builtinId="9" hidden="1"/>
    <cellStyle name="Použitý hypertextový odkaz" xfId="2534" builtinId="9" hidden="1"/>
    <cellStyle name="Použitý hypertextový odkaz" xfId="2536" builtinId="9" hidden="1"/>
    <cellStyle name="Použitý hypertextový odkaz" xfId="2538" builtinId="9" hidden="1"/>
    <cellStyle name="Použitý hypertextový odkaz" xfId="2540" builtinId="9" hidden="1"/>
    <cellStyle name="Použitý hypertextový odkaz" xfId="2542" builtinId="9" hidden="1"/>
    <cellStyle name="Použitý hypertextový odkaz" xfId="2544" builtinId="9" hidden="1"/>
    <cellStyle name="Použitý hypertextový odkaz" xfId="2546" builtinId="9" hidden="1"/>
    <cellStyle name="Použitý hypertextový odkaz" xfId="2548" builtinId="9" hidden="1"/>
    <cellStyle name="Použitý hypertextový odkaz" xfId="2550" builtinId="9" hidden="1"/>
    <cellStyle name="Použitý hypertextový odkaz" xfId="2552" builtinId="9" hidden="1"/>
    <cellStyle name="Použitý hypertextový odkaz" xfId="2554" builtinId="9" hidden="1"/>
    <cellStyle name="Použitý hypertextový odkaz" xfId="2556" builtinId="9" hidden="1"/>
    <cellStyle name="Použitý hypertextový odkaz" xfId="2558" builtinId="9" hidden="1"/>
    <cellStyle name="Použitý hypertextový odkaz" xfId="2560" builtinId="9" hidden="1"/>
    <cellStyle name="Použitý hypertextový odkaz" xfId="2562" builtinId="9" hidden="1"/>
    <cellStyle name="Použitý hypertextový odkaz" xfId="2564" builtinId="9" hidden="1"/>
    <cellStyle name="Použitý hypertextový odkaz" xfId="2566" builtinId="9" hidden="1"/>
    <cellStyle name="Použitý hypertextový odkaz" xfId="2568" builtinId="9" hidden="1"/>
    <cellStyle name="Použitý hypertextový odkaz" xfId="2570" builtinId="9" hidden="1"/>
    <cellStyle name="Použitý hypertextový odkaz" xfId="2572" builtinId="9" hidden="1"/>
    <cellStyle name="Použitý hypertextový odkaz" xfId="2574" builtinId="9" hidden="1"/>
    <cellStyle name="Použitý hypertextový odkaz" xfId="2576" builtinId="9" hidden="1"/>
    <cellStyle name="Použitý hypertextový odkaz" xfId="2578" builtinId="9" hidden="1"/>
    <cellStyle name="Použitý hypertextový odkaz" xfId="2580" builtinId="9" hidden="1"/>
    <cellStyle name="Použitý hypertextový odkaz" xfId="2582" builtinId="9" hidden="1"/>
    <cellStyle name="Použitý hypertextový odkaz" xfId="2584" builtinId="9" hidden="1"/>
    <cellStyle name="Použitý hypertextový odkaz" xfId="2586" builtinId="9" hidden="1"/>
    <cellStyle name="Použitý hypertextový odkaz" xfId="2588" builtinId="9" hidden="1"/>
    <cellStyle name="Použitý hypertextový odkaz" xfId="2590" builtinId="9" hidden="1"/>
    <cellStyle name="Použitý hypertextový odkaz" xfId="2592" builtinId="9" hidden="1"/>
    <cellStyle name="Použitý hypertextový odkaz" xfId="2594" builtinId="9" hidden="1"/>
    <cellStyle name="Použitý hypertextový odkaz" xfId="2596" builtinId="9" hidden="1"/>
    <cellStyle name="Použitý hypertextový odkaz" xfId="2598" builtinId="9" hidden="1"/>
    <cellStyle name="Použitý hypertextový odkaz" xfId="2601" builtinId="9" hidden="1"/>
    <cellStyle name="Použitý hypertextový odkaz" xfId="2603" builtinId="9" hidden="1"/>
    <cellStyle name="Použitý hypertextový odkaz" xfId="2605" builtinId="9" hidden="1"/>
    <cellStyle name="Použitý hypertextový odkaz" xfId="2607" builtinId="9" hidden="1"/>
    <cellStyle name="Použitý hypertextový odkaz" xfId="2609" builtinId="9" hidden="1"/>
    <cellStyle name="Použitý hypertextový odkaz" xfId="2611" builtinId="9" hidden="1"/>
    <cellStyle name="Použitý hypertextový odkaz" xfId="2613" builtinId="9" hidden="1"/>
    <cellStyle name="Použitý hypertextový odkaz" xfId="2615" builtinId="9" hidden="1"/>
    <cellStyle name="Použitý hypertextový odkaz" xfId="2617" builtinId="9" hidden="1"/>
    <cellStyle name="Použitý hypertextový odkaz" xfId="2619" builtinId="9" hidden="1"/>
    <cellStyle name="Použitý hypertextový odkaz" xfId="2621" builtinId="9" hidden="1"/>
    <cellStyle name="Použitý hypertextový odkaz" xfId="2623" builtinId="9" hidden="1"/>
    <cellStyle name="Použitý hypertextový odkaz" xfId="2625" builtinId="9" hidden="1"/>
    <cellStyle name="Použitý hypertextový odkaz" xfId="2627" builtinId="9" hidden="1"/>
    <cellStyle name="Použitý hypertextový odkaz" xfId="2629" builtinId="9" hidden="1"/>
    <cellStyle name="Použitý hypertextový odkaz" xfId="2631" builtinId="9" hidden="1"/>
    <cellStyle name="Použitý hypertextový odkaz" xfId="2633" builtinId="9" hidden="1"/>
    <cellStyle name="Použitý hypertextový odkaz" xfId="2635" builtinId="9" hidden="1"/>
    <cellStyle name="Použitý hypertextový odkaz" xfId="2637" builtinId="9" hidden="1"/>
    <cellStyle name="Použitý hypertextový odkaz" xfId="2639" builtinId="9" hidden="1"/>
    <cellStyle name="Použitý hypertextový odkaz" xfId="2641" builtinId="9" hidden="1"/>
    <cellStyle name="Použitý hypertextový odkaz" xfId="2643" builtinId="9" hidden="1"/>
    <cellStyle name="Použitý hypertextový odkaz" xfId="2645" builtinId="9" hidden="1"/>
    <cellStyle name="Použitý hypertextový odkaz" xfId="2647" builtinId="9" hidden="1"/>
    <cellStyle name="Použitý hypertextový odkaz" xfId="2649" builtinId="9" hidden="1"/>
    <cellStyle name="Použitý hypertextový odkaz" xfId="2651" builtinId="9" hidden="1"/>
    <cellStyle name="Použitý hypertextový odkaz" xfId="2653" builtinId="9" hidden="1"/>
    <cellStyle name="Použitý hypertextový odkaz" xfId="2655" builtinId="9" hidden="1"/>
    <cellStyle name="Použitý hypertextový odkaz" xfId="2657" builtinId="9" hidden="1"/>
    <cellStyle name="Použitý hypertextový odkaz" xfId="2659" builtinId="9" hidden="1"/>
    <cellStyle name="Použitý hypertextový odkaz" xfId="2661" builtinId="9" hidden="1"/>
    <cellStyle name="Použitý hypertextový odkaz" xfId="2663" builtinId="9" hidden="1"/>
    <cellStyle name="Použitý hypertextový odkaz" xfId="2665" builtinId="9" hidden="1"/>
    <cellStyle name="Použitý hypertextový odkaz" xfId="2667" builtinId="9" hidden="1"/>
    <cellStyle name="Použitý hypertextový odkaz" xfId="2669" builtinId="9" hidden="1"/>
    <cellStyle name="Použitý hypertextový odkaz" xfId="2671" builtinId="9" hidden="1"/>
    <cellStyle name="Použitý hypertextový odkaz" xfId="2673" builtinId="9" hidden="1"/>
    <cellStyle name="Použitý hypertextový odkaz" xfId="2675" builtinId="9" hidden="1"/>
    <cellStyle name="Použitý hypertextový odkaz" xfId="2677" builtinId="9" hidden="1"/>
    <cellStyle name="Použitý hypertextový odkaz" xfId="2679" builtinId="9" hidden="1"/>
    <cellStyle name="Použitý hypertextový odkaz" xfId="2681" builtinId="9" hidden="1"/>
    <cellStyle name="Použitý hypertextový odkaz" xfId="2683" builtinId="9" hidden="1"/>
    <cellStyle name="Použitý hypertextový odkaz" xfId="2685" builtinId="9" hidden="1"/>
    <cellStyle name="Použitý hypertextový odkaz" xfId="2687" builtinId="9" hidden="1"/>
    <cellStyle name="Použitý hypertextový odkaz" xfId="2689" builtinId="9" hidden="1"/>
    <cellStyle name="Použitý hypertextový odkaz" xfId="2691" builtinId="9" hidden="1"/>
    <cellStyle name="Použitý hypertextový odkaz" xfId="2693" builtinId="9" hidden="1"/>
    <cellStyle name="Použitý hypertextový odkaz" xfId="2695" builtinId="9" hidden="1"/>
    <cellStyle name="Použitý hypertextový odkaz" xfId="2697" builtinId="9" hidden="1"/>
    <cellStyle name="Použitý hypertextový odkaz" xfId="2699" builtinId="9" hidden="1"/>
    <cellStyle name="Použitý hypertextový odkaz" xfId="2701" builtinId="9" hidden="1"/>
    <cellStyle name="Použitý hypertextový odkaz" xfId="2703" builtinId="9" hidden="1"/>
    <cellStyle name="Použitý hypertextový odkaz" xfId="2705" builtinId="9" hidden="1"/>
    <cellStyle name="Použitý hypertextový odkaz" xfId="2707" builtinId="9" hidden="1"/>
    <cellStyle name="Použitý hypertextový odkaz" xfId="2709" builtinId="9" hidden="1"/>
    <cellStyle name="Použitý hypertextový odkaz" xfId="2711" builtinId="9" hidden="1"/>
    <cellStyle name="Použitý hypertextový odkaz" xfId="2713" builtinId="9" hidden="1"/>
    <cellStyle name="Použitý hypertextový odkaz" xfId="2715" builtinId="9" hidden="1"/>
    <cellStyle name="Použitý hypertextový odkaz" xfId="2717" builtinId="9" hidden="1"/>
    <cellStyle name="Použitý hypertextový odkaz" xfId="2719" builtinId="9" hidden="1"/>
    <cellStyle name="Použitý hypertextový odkaz" xfId="2721" builtinId="9" hidden="1"/>
    <cellStyle name="Použitý hypertextový odkaz" xfId="2723" builtinId="9" hidden="1"/>
    <cellStyle name="Použitý hypertextový odkaz" xfId="2725" builtinId="9" hidden="1"/>
    <cellStyle name="Použitý hypertextový odkaz" xfId="2727" builtinId="9" hidden="1"/>
    <cellStyle name="Použitý hypertextový odkaz" xfId="2729" builtinId="9" hidden="1"/>
    <cellStyle name="Použitý hypertextový odkaz" xfId="2731" builtinId="9" hidden="1"/>
    <cellStyle name="Použitý hypertextový odkaz" xfId="2733" builtinId="9" hidden="1"/>
    <cellStyle name="Použitý hypertextový odkaz" xfId="2735" builtinId="9" hidden="1"/>
    <cellStyle name="Použitý hypertextový odkaz" xfId="2737" builtinId="9" hidden="1"/>
    <cellStyle name="Použitý hypertextový odkaz" xfId="2739" builtinId="9" hidden="1"/>
    <cellStyle name="Použitý hypertextový odkaz" xfId="2741" builtinId="9" hidden="1"/>
    <cellStyle name="Použitý hypertextový odkaz" xfId="2743" builtinId="9" hidden="1"/>
    <cellStyle name="Použitý hypertextový odkaz" xfId="2745" builtinId="9" hidden="1"/>
    <cellStyle name="Použitý hypertextový odkaz" xfId="2747" builtinId="9" hidden="1"/>
    <cellStyle name="Použitý hypertextový odkaz" xfId="2749" builtinId="9" hidden="1"/>
    <cellStyle name="Použitý hypertextový odkaz" xfId="2751" builtinId="9" hidden="1"/>
    <cellStyle name="Použitý hypertextový odkaz" xfId="2753" builtinId="9" hidden="1"/>
    <cellStyle name="Použitý hypertextový odkaz" xfId="2755" builtinId="9" hidden="1"/>
    <cellStyle name="Použitý hypertextový odkaz" xfId="2757" builtinId="9" hidden="1"/>
    <cellStyle name="Použitý hypertextový odkaz" xfId="2759" builtinId="9" hidden="1"/>
    <cellStyle name="Použitý hypertextový odkaz" xfId="2761" builtinId="9" hidden="1"/>
    <cellStyle name="Použitý hypertextový odkaz" xfId="2763" builtinId="9" hidden="1"/>
    <cellStyle name="Použitý hypertextový odkaz" xfId="2765" builtinId="9" hidden="1"/>
    <cellStyle name="Použitý hypertextový odkaz" xfId="2767" builtinId="9" hidden="1"/>
    <cellStyle name="Použitý hypertextový odkaz" xfId="2769" builtinId="9" hidden="1"/>
    <cellStyle name="Použitý hypertextový odkaz" xfId="2771" builtinId="9" hidden="1"/>
    <cellStyle name="Použitý hypertextový odkaz" xfId="2773" builtinId="9" hidden="1"/>
    <cellStyle name="Použitý hypertextový odkaz" xfId="2775" builtinId="9" hidden="1"/>
    <cellStyle name="Použitý hypertextový odkaz" xfId="2777" builtinId="9" hidden="1"/>
    <cellStyle name="Použitý hypertextový odkaz" xfId="2779" builtinId="9" hidden="1"/>
    <cellStyle name="Použitý hypertextový odkaz" xfId="2781" builtinId="9" hidden="1"/>
    <cellStyle name="Použitý hypertextový odkaz" xfId="2783" builtinId="9" hidden="1"/>
    <cellStyle name="Použitý hypertextový odkaz" xfId="2785" builtinId="9" hidden="1"/>
    <cellStyle name="Použitý hypertextový odkaz" xfId="2787" builtinId="9" hidden="1"/>
    <cellStyle name="Použitý hypertextový odkaz" xfId="2789" builtinId="9" hidden="1"/>
    <cellStyle name="Použitý hypertextový odkaz" xfId="2791" builtinId="9" hidden="1"/>
    <cellStyle name="Použitý hypertextový odkaz" xfId="2793" builtinId="9" hidden="1"/>
    <cellStyle name="Použitý hypertextový odkaz" xfId="2795" builtinId="9" hidden="1"/>
    <cellStyle name="Použitý hypertextový odkaz" xfId="2797" builtinId="9" hidden="1"/>
    <cellStyle name="Použitý hypertextový odkaz" xfId="2799" builtinId="9" hidden="1"/>
    <cellStyle name="Použitý hypertextový odkaz" xfId="2801" builtinId="9" hidden="1"/>
    <cellStyle name="Použitý hypertextový odkaz" xfId="2803" builtinId="9" hidden="1"/>
    <cellStyle name="Použitý hypertextový odkaz" xfId="2805" builtinId="9" hidden="1"/>
    <cellStyle name="Použitý hypertextový odkaz" xfId="2807" builtinId="9" hidden="1"/>
    <cellStyle name="Použitý hypertextový odkaz" xfId="2809" builtinId="9" hidden="1"/>
    <cellStyle name="Použitý hypertextový odkaz" xfId="2811" builtinId="9" hidden="1"/>
    <cellStyle name="Použitý hypertextový odkaz" xfId="2813" builtinId="9" hidden="1"/>
    <cellStyle name="Použitý hypertextový odkaz" xfId="2815" builtinId="9" hidden="1"/>
    <cellStyle name="Použitý hypertextový odkaz" xfId="2817" builtinId="9" hidden="1"/>
    <cellStyle name="Použitý hypertextový odkaz" xfId="2819" builtinId="9" hidden="1"/>
    <cellStyle name="Použitý hypertextový odkaz" xfId="2821" builtinId="9" hidden="1"/>
    <cellStyle name="Použitý hypertextový odkaz" xfId="2823" builtinId="9" hidden="1"/>
    <cellStyle name="Použitý hypertextový odkaz" xfId="2825" builtinId="9" hidden="1"/>
    <cellStyle name="Použitý hypertextový odkaz" xfId="2827" builtinId="9" hidden="1"/>
    <cellStyle name="Použitý hypertextový odkaz" xfId="2829" builtinId="9" hidden="1"/>
    <cellStyle name="Použitý hypertextový odkaz" xfId="2831" builtinId="9" hidden="1"/>
    <cellStyle name="Použitý hypertextový odkaz" xfId="2833" builtinId="9" hidden="1"/>
    <cellStyle name="Použitý hypertextový odkaz" xfId="2835" builtinId="9" hidden="1"/>
    <cellStyle name="Použitý hypertextový odkaz" xfId="2837" builtinId="9" hidden="1"/>
    <cellStyle name="Použitý hypertextový odkaz" xfId="2839" builtinId="9" hidden="1"/>
    <cellStyle name="Použitý hypertextový odkaz" xfId="2841" builtinId="9" hidden="1"/>
    <cellStyle name="Použitý hypertextový odkaz" xfId="2843" builtinId="9" hidden="1"/>
    <cellStyle name="Použitý hypertextový odkaz" xfId="2845" builtinId="9" hidden="1"/>
    <cellStyle name="Použitý hypertextový odkaz" xfId="2847" builtinId="9" hidden="1"/>
    <cellStyle name="Použitý hypertextový odkaz" xfId="2849" builtinId="9" hidden="1"/>
    <cellStyle name="Použitý hypertextový odkaz" xfId="2851" builtinId="9" hidden="1"/>
    <cellStyle name="Použitý hypertextový odkaz" xfId="2853" builtinId="9" hidden="1"/>
    <cellStyle name="Použitý hypertextový odkaz" xfId="2855" builtinId="9" hidden="1"/>
    <cellStyle name="Použitý hypertextový odkaz" xfId="2857" builtinId="9" hidden="1"/>
    <cellStyle name="Použitý hypertextový odkaz" xfId="2859" builtinId="9" hidden="1"/>
    <cellStyle name="Použitý hypertextový odkaz" xfId="2861" builtinId="9" hidden="1"/>
    <cellStyle name="Použitý hypertextový odkaz" xfId="2863" builtinId="9" hidden="1"/>
    <cellStyle name="Použitý hypertextový odkaz" xfId="2865" builtinId="9" hidden="1"/>
    <cellStyle name="Použitý hypertextový odkaz" xfId="2867" builtinId="9" hidden="1"/>
    <cellStyle name="Použitý hypertextový odkaz" xfId="2869" builtinId="9" hidden="1"/>
    <cellStyle name="Použitý hypertextový odkaz" xfId="2871" builtinId="9" hidden="1"/>
    <cellStyle name="Použitý hypertextový odkaz" xfId="2873" builtinId="9" hidden="1"/>
    <cellStyle name="Použitý hypertextový odkaz" xfId="2875" builtinId="9" hidden="1"/>
    <cellStyle name="Použitý hypertextový odkaz" xfId="2877" builtinId="9" hidden="1"/>
    <cellStyle name="Použitý hypertextový odkaz" xfId="2879" builtinId="9" hidden="1"/>
    <cellStyle name="Použitý hypertextový odkaz" xfId="2881" builtinId="9" hidden="1"/>
    <cellStyle name="Použitý hypertextový odkaz" xfId="2883" builtinId="9" hidden="1"/>
    <cellStyle name="Použitý hypertextový odkaz" xfId="2885" builtinId="9" hidden="1"/>
    <cellStyle name="Použitý hypertextový odkaz" xfId="2887" builtinId="9" hidden="1"/>
    <cellStyle name="Použitý hypertextový odkaz" xfId="2889" builtinId="9" hidden="1"/>
    <cellStyle name="Použitý hypertextový odkaz" xfId="2891" builtinId="9" hidden="1"/>
    <cellStyle name="Použitý hypertextový odkaz" xfId="2893" builtinId="9" hidden="1"/>
    <cellStyle name="Použitý hypertextový odkaz" xfId="2895" builtinId="9" hidden="1"/>
    <cellStyle name="Použitý hypertextový odkaz" xfId="2897" builtinId="9" hidden="1"/>
    <cellStyle name="Použitý hypertextový odkaz" xfId="2899" builtinId="9" hidden="1"/>
    <cellStyle name="Použitý hypertextový odkaz" xfId="2901" builtinId="9" hidden="1"/>
    <cellStyle name="Použitý hypertextový odkaz" xfId="2903" builtinId="9" hidden="1"/>
    <cellStyle name="Použitý hypertextový odkaz" xfId="2905" builtinId="9" hidden="1"/>
    <cellStyle name="Použitý hypertextový odkaz" xfId="2907" builtinId="9" hidden="1"/>
    <cellStyle name="Použitý hypertextový odkaz" xfId="2909" builtinId="9" hidden="1"/>
    <cellStyle name="Použitý hypertextový odkaz" xfId="2911" builtinId="9" hidden="1"/>
    <cellStyle name="Použitý hypertextový odkaz" xfId="2913" builtinId="9" hidden="1"/>
    <cellStyle name="Použitý hypertextový odkaz" xfId="2915" builtinId="9" hidden="1"/>
    <cellStyle name="Použitý hypertextový odkaz" xfId="2917" builtinId="9" hidden="1"/>
    <cellStyle name="Použitý hypertextový odkaz" xfId="2919" builtinId="9" hidden="1"/>
    <cellStyle name="Použitý hypertextový odkaz" xfId="2921" builtinId="9" hidden="1"/>
    <cellStyle name="Použitý hypertextový odkaz" xfId="2923" builtinId="9" hidden="1"/>
    <cellStyle name="Použitý hypertextový odkaz" xfId="2925" builtinId="9" hidden="1"/>
    <cellStyle name="Použitý hypertextový odkaz" xfId="2927" builtinId="9" hidden="1"/>
    <cellStyle name="Použitý hypertextový odkaz" xfId="2929" builtinId="9" hidden="1"/>
    <cellStyle name="Použitý hypertextový odkaz" xfId="2931" builtinId="9" hidden="1"/>
    <cellStyle name="Použitý hypertextový odkaz" xfId="2933" builtinId="9" hidden="1"/>
    <cellStyle name="Použitý hypertextový odkaz" xfId="2935" builtinId="9" hidden="1"/>
    <cellStyle name="Použitý hypertextový odkaz" xfId="2937" builtinId="9" hidden="1"/>
    <cellStyle name="Použitý hypertextový odkaz" xfId="2939" builtinId="9" hidden="1"/>
    <cellStyle name="Použitý hypertextový odkaz" xfId="2941" builtinId="9" hidden="1"/>
    <cellStyle name="Použitý hypertextový odkaz" xfId="2943" builtinId="9" hidden="1"/>
    <cellStyle name="Použitý hypertextový odkaz" xfId="2945" builtinId="9" hidden="1"/>
    <cellStyle name="Použitý hypertextový odkaz" xfId="2947" builtinId="9" hidden="1"/>
    <cellStyle name="Použitý hypertextový odkaz" xfId="2949" builtinId="9" hidden="1"/>
    <cellStyle name="Použitý hypertextový odkaz" xfId="2951" builtinId="9" hidden="1"/>
    <cellStyle name="Použitý hypertextový odkaz" xfId="2953" builtinId="9" hidden="1"/>
    <cellStyle name="Použitý hypertextový odkaz" xfId="2955" builtinId="9" hidden="1"/>
    <cellStyle name="Použitý hypertextový odkaz" xfId="2957" builtinId="9" hidden="1"/>
    <cellStyle name="Použitý hypertextový odkaz" xfId="2959" builtinId="9" hidden="1"/>
    <cellStyle name="Použitý hypertextový odkaz" xfId="2961" builtinId="9" hidden="1"/>
    <cellStyle name="Použitý hypertextový odkaz" xfId="2963" builtinId="9" hidden="1"/>
    <cellStyle name="Použitý hypertextový odkaz" xfId="2965" builtinId="9" hidden="1"/>
    <cellStyle name="Použitý hypertextový odkaz" xfId="2968" builtinId="9" hidden="1"/>
    <cellStyle name="Použitý hypertextový odkaz" xfId="2970" builtinId="9" hidden="1"/>
    <cellStyle name="Použitý hypertextový odkaz" xfId="2972" builtinId="9" hidden="1"/>
    <cellStyle name="Použitý hypertextový odkaz" xfId="2974" builtinId="9" hidden="1"/>
    <cellStyle name="Použitý hypertextový odkaz" xfId="2976" builtinId="9" hidden="1"/>
    <cellStyle name="Použitý hypertextový odkaz" xfId="2978" builtinId="9" hidden="1"/>
    <cellStyle name="Použitý hypertextový odkaz" xfId="2980" builtinId="9" hidden="1"/>
    <cellStyle name="Použitý hypertextový odkaz" xfId="2982" builtinId="9" hidden="1"/>
    <cellStyle name="Použitý hypertextový odkaz" xfId="2984" builtinId="9" hidden="1"/>
    <cellStyle name="Použitý hypertextový odkaz" xfId="2986" builtinId="9" hidden="1"/>
    <cellStyle name="Použitý hypertextový odkaz" xfId="2988" builtinId="9" hidden="1"/>
    <cellStyle name="Použitý hypertextový odkaz" xfId="2990" builtinId="9" hidden="1"/>
    <cellStyle name="Použitý hypertextový odkaz" xfId="2992" builtinId="9" hidden="1"/>
    <cellStyle name="Použitý hypertextový odkaz" xfId="2995" builtinId="9" hidden="1"/>
    <cellStyle name="Použitý hypertextový odkaz" xfId="2997" builtinId="9" hidden="1"/>
    <cellStyle name="Použitý hypertextový odkaz" xfId="2999" builtinId="9" hidden="1"/>
    <cellStyle name="Použitý hypertextový odkaz" xfId="3001" builtinId="9" hidden="1"/>
    <cellStyle name="Použitý hypertextový odkaz" xfId="3003" builtinId="9" hidden="1"/>
    <cellStyle name="Použitý hypertextový odkaz" xfId="3005" builtinId="9" hidden="1"/>
    <cellStyle name="Použitý hypertextový odkaz" xfId="3007" builtinId="9" hidden="1"/>
    <cellStyle name="Použitý hypertextový odkaz" xfId="3009" builtinId="9" hidden="1"/>
    <cellStyle name="Použitý hypertextový odkaz" xfId="3011" builtinId="9" hidden="1"/>
    <cellStyle name="Použitý hypertextový odkaz" xfId="3013" builtinId="9" hidden="1"/>
    <cellStyle name="Použitý hypertextový odkaz" xfId="3015" builtinId="9" hidden="1"/>
    <cellStyle name="Použitý hypertextový odkaz" xfId="3017" builtinId="9" hidden="1"/>
    <cellStyle name="Použitý hypertextový odkaz" xfId="3019" builtinId="9" hidden="1"/>
    <cellStyle name="Použitý hypertextový odkaz" xfId="3021" builtinId="9" hidden="1"/>
    <cellStyle name="Použitý hypertextový odkaz" xfId="3023" builtinId="9" hidden="1"/>
    <cellStyle name="Použitý hypertextový odkaz" xfId="3025" builtinId="9" hidden="1"/>
    <cellStyle name="Použitý hypertextový odkaz" xfId="3027" builtinId="9" hidden="1"/>
    <cellStyle name="Použitý hypertextový odkaz" xfId="3029" builtinId="9" hidden="1"/>
    <cellStyle name="Použitý hypertextový odkaz" xfId="3031" builtinId="9" hidden="1"/>
    <cellStyle name="Použitý hypertextový odkaz" xfId="3033" builtinId="9" hidden="1"/>
    <cellStyle name="Použitý hypertextový odkaz" xfId="3035" builtinId="9" hidden="1"/>
    <cellStyle name="Použitý hypertextový odkaz" xfId="3037" builtinId="9" hidden="1"/>
    <cellStyle name="Použitý hypertextový odkaz" xfId="3039" builtinId="9" hidden="1"/>
    <cellStyle name="Použitý hypertextový odkaz" xfId="3041" builtinId="9" hidden="1"/>
    <cellStyle name="Použitý hypertextový odkaz" xfId="3043" builtinId="9" hidden="1"/>
    <cellStyle name="Použitý hypertextový odkaz" xfId="3045" builtinId="9" hidden="1"/>
    <cellStyle name="Použitý hypertextový odkaz" xfId="3047" builtinId="9" hidden="1"/>
    <cellStyle name="Použitý hypertextový odkaz" xfId="3049" builtinId="9" hidden="1"/>
    <cellStyle name="Použitý hypertextový odkaz" xfId="3051" builtinId="9" hidden="1"/>
    <cellStyle name="Použitý hypertextový odkaz" xfId="3053" builtinId="9" hidden="1"/>
    <cellStyle name="Použitý hypertextový odkaz" xfId="3055" builtinId="9" hidden="1"/>
    <cellStyle name="Použitý hypertextový odkaz" xfId="3057" builtinId="9" hidden="1"/>
    <cellStyle name="Použitý hypertextový odkaz" xfId="3059" builtinId="9" hidden="1"/>
    <cellStyle name="Použitý hypertextový odkaz" xfId="3061" builtinId="9" hidden="1"/>
    <cellStyle name="Použitý hypertextový odkaz" xfId="3063" builtinId="9" hidden="1"/>
    <cellStyle name="Použitý hypertextový odkaz" xfId="3065" builtinId="9" hidden="1"/>
    <cellStyle name="Použitý hypertextový odkaz" xfId="3067" builtinId="9" hidden="1"/>
    <cellStyle name="Použitý hypertextový odkaz" xfId="3069" builtinId="9" hidden="1"/>
    <cellStyle name="Použitý hypertextový odkaz" xfId="3071" builtinId="9" hidden="1"/>
    <cellStyle name="Použitý hypertextový odkaz" xfId="3073" builtinId="9" hidden="1"/>
    <cellStyle name="Použitý hypertextový odkaz" xfId="3075" builtinId="9" hidden="1"/>
    <cellStyle name="Použitý hypertextový odkaz" xfId="3077" builtinId="9" hidden="1"/>
    <cellStyle name="Použitý hypertextový odkaz" xfId="3079" builtinId="9" hidden="1"/>
    <cellStyle name="Použitý hypertextový odkaz" xfId="3081" builtinId="9" hidden="1"/>
    <cellStyle name="Použitý hypertextový odkaz" xfId="3083" builtinId="9" hidden="1"/>
    <cellStyle name="Použitý hypertextový odkaz" xfId="3085" builtinId="9" hidden="1"/>
    <cellStyle name="Použitý hypertextový odkaz" xfId="3087" builtinId="9" hidden="1"/>
    <cellStyle name="Použitý hypertextový odkaz" xfId="3089" builtinId="9" hidden="1"/>
    <cellStyle name="Použitý hypertextový odkaz" xfId="3091" builtinId="9" hidden="1"/>
    <cellStyle name="Použitý hypertextový odkaz" xfId="3093" builtinId="9" hidden="1"/>
    <cellStyle name="Použitý hypertextový odkaz" xfId="3095" builtinId="9" hidden="1"/>
    <cellStyle name="Použitý hypertextový odkaz" xfId="3097" builtinId="9" hidden="1"/>
    <cellStyle name="Použitý hypertextový odkaz" xfId="3099" builtinId="9" hidden="1"/>
    <cellStyle name="Použitý hypertextový odkaz" xfId="3101" builtinId="9" hidden="1"/>
    <cellStyle name="Použitý hypertextový odkaz" xfId="3103" builtinId="9" hidden="1"/>
    <cellStyle name="Použitý hypertextový odkaz" xfId="3105" builtinId="9" hidden="1"/>
    <cellStyle name="Použitý hypertextový odkaz" xfId="3107" builtinId="9" hidden="1"/>
    <cellStyle name="Použitý hypertextový odkaz" xfId="3109" builtinId="9" hidden="1"/>
    <cellStyle name="Použitý hypertextový odkaz" xfId="3111" builtinId="9" hidden="1"/>
    <cellStyle name="Použitý hypertextový odkaz" xfId="3113" builtinId="9" hidden="1"/>
    <cellStyle name="Použitý hypertextový odkaz" xfId="3115" builtinId="9" hidden="1"/>
    <cellStyle name="Použitý hypertextový odkaz" xfId="3117" builtinId="9" hidden="1"/>
    <cellStyle name="Použitý hypertextový odkaz" xfId="3119" builtinId="9" hidden="1"/>
    <cellStyle name="Použitý hypertextový odkaz" xfId="3121" builtinId="9" hidden="1"/>
    <cellStyle name="Použitý hypertextový odkaz" xfId="3123" builtinId="9" hidden="1"/>
    <cellStyle name="Použitý hypertextový odkaz" xfId="3125" builtinId="9" hidden="1"/>
    <cellStyle name="Použitý hypertextový odkaz" xfId="3127" builtinId="9" hidden="1"/>
    <cellStyle name="Použitý hypertextový odkaz" xfId="3129" builtinId="9" hidden="1"/>
    <cellStyle name="Použitý hypertextový odkaz" xfId="3131" builtinId="9" hidden="1"/>
    <cellStyle name="Použitý hypertextový odkaz" xfId="3133" builtinId="9" hidden="1"/>
    <cellStyle name="Použitý hypertextový odkaz" xfId="3135" builtinId="9" hidden="1"/>
    <cellStyle name="Použitý hypertextový odkaz" xfId="3137" builtinId="9" hidden="1"/>
    <cellStyle name="Použitý hypertextový odkaz" xfId="3139" builtinId="9" hidden="1"/>
    <cellStyle name="Použitý hypertextový odkaz" xfId="3141" builtinId="9" hidden="1"/>
    <cellStyle name="Použitý hypertextový odkaz" xfId="3143" builtinId="9" hidden="1"/>
    <cellStyle name="Použitý hypertextový odkaz" xfId="3145" builtinId="9" hidden="1"/>
    <cellStyle name="Použitý hypertextový odkaz" xfId="3147" builtinId="9" hidden="1"/>
    <cellStyle name="Použitý hypertextový odkaz" xfId="3149" builtinId="9" hidden="1"/>
    <cellStyle name="Použitý hypertextový odkaz" xfId="3151" builtinId="9" hidden="1"/>
    <cellStyle name="Použitý hypertextový odkaz" xfId="3153" builtinId="9" hidden="1"/>
    <cellStyle name="Použitý hypertextový odkaz" xfId="3155" builtinId="9" hidden="1"/>
    <cellStyle name="Použitý hypertextový odkaz" xfId="3157" builtinId="9" hidden="1"/>
    <cellStyle name="Použitý hypertextový odkaz" xfId="3159" builtinId="9" hidden="1"/>
    <cellStyle name="Použitý hypertextový odkaz" xfId="3161" builtinId="9" hidden="1"/>
    <cellStyle name="Použitý hypertextový odkaz" xfId="3163" builtinId="9" hidden="1"/>
    <cellStyle name="Použitý hypertextový odkaz" xfId="3165" builtinId="9" hidden="1"/>
    <cellStyle name="Použitý hypertextový odkaz" xfId="3167" builtinId="9" hidden="1"/>
    <cellStyle name="Použitý hypertextový odkaz" xfId="3169" builtinId="9" hidden="1"/>
    <cellStyle name="Použitý hypertextový odkaz" xfId="3171" builtinId="9" hidden="1"/>
    <cellStyle name="Použitý hypertextový odkaz" xfId="3173" builtinId="9" hidden="1"/>
    <cellStyle name="Použitý hypertextový odkaz" xfId="3175" builtinId="9" hidden="1"/>
    <cellStyle name="Použitý hypertextový odkaz" xfId="3177" builtinId="9" hidden="1"/>
    <cellStyle name="Použitý hypertextový odkaz" xfId="3179" builtinId="9" hidden="1"/>
    <cellStyle name="Použitý hypertextový odkaz" xfId="3181" builtinId="9" hidden="1"/>
    <cellStyle name="Použitý hypertextový odkaz" xfId="3183" builtinId="9" hidden="1"/>
    <cellStyle name="Použitý hypertextový odkaz" xfId="3185" builtinId="9" hidden="1"/>
    <cellStyle name="Použitý hypertextový odkaz" xfId="3187" builtinId="9" hidden="1"/>
    <cellStyle name="Použitý hypertextový odkaz" xfId="3189" builtinId="9" hidden="1"/>
    <cellStyle name="Použitý hypertextový odkaz" xfId="3191" builtinId="9" hidden="1"/>
    <cellStyle name="Použitý hypertextový odkaz" xfId="3193" builtinId="9" hidden="1"/>
    <cellStyle name="Použitý hypertextový odkaz" xfId="3195" builtinId="9" hidden="1"/>
    <cellStyle name="Použitý hypertextový odkaz" xfId="3197" builtinId="9" hidden="1"/>
    <cellStyle name="Použitý hypertextový odkaz" xfId="3199" builtinId="9" hidden="1"/>
    <cellStyle name="Použitý hypertextový odkaz" xfId="3201" builtinId="9" hidden="1"/>
    <cellStyle name="Použitý hypertextový odkaz" xfId="3203" builtinId="9" hidden="1"/>
    <cellStyle name="Použitý hypertextový odkaz" xfId="3205" builtinId="9" hidden="1"/>
    <cellStyle name="Použitý hypertextový odkaz" xfId="3207" builtinId="9" hidden="1"/>
    <cellStyle name="Použitý hypertextový odkaz" xfId="3209" builtinId="9" hidden="1"/>
    <cellStyle name="Použitý hypertextový odkaz" xfId="3211" builtinId="9" hidden="1"/>
    <cellStyle name="Použitý hypertextový odkaz" xfId="3213" builtinId="9" hidden="1"/>
    <cellStyle name="Použitý hypertextový odkaz" xfId="3215" builtinId="9" hidden="1"/>
    <cellStyle name="Použitý hypertextový odkaz" xfId="3217" builtinId="9" hidden="1"/>
    <cellStyle name="Použitý hypertextový odkaz" xfId="3219" builtinId="9" hidden="1"/>
    <cellStyle name="Použitý hypertextový odkaz" xfId="3221" builtinId="9" hidden="1"/>
    <cellStyle name="Použitý hypertextový odkaz" xfId="3223" builtinId="9" hidden="1"/>
    <cellStyle name="Použitý hypertextový odkaz" xfId="3225" builtinId="9" hidden="1"/>
    <cellStyle name="Použitý hypertextový odkaz" xfId="3227" builtinId="9" hidden="1"/>
    <cellStyle name="Použitý hypertextový odkaz" xfId="3229" builtinId="9" hidden="1"/>
    <cellStyle name="Použitý hypertextový odkaz" xfId="3231" builtinId="9" hidden="1"/>
    <cellStyle name="Použitý hypertextový odkaz" xfId="3233" builtinId="9" hidden="1"/>
    <cellStyle name="Použitý hypertextový odkaz" xfId="3235" builtinId="9" hidden="1"/>
    <cellStyle name="Použitý hypertextový odkaz" xfId="3237" builtinId="9" hidden="1"/>
    <cellStyle name="Použitý hypertextový odkaz" xfId="3239" builtinId="9" hidden="1"/>
    <cellStyle name="Použitý hypertextový odkaz" xfId="3241" builtinId="9" hidden="1"/>
    <cellStyle name="Použitý hypertextový odkaz" xfId="3243" builtinId="9" hidden="1"/>
    <cellStyle name="Použitý hypertextový odkaz" xfId="3245" builtinId="9" hidden="1"/>
    <cellStyle name="Použitý hypertextový odkaz" xfId="3247" builtinId="9" hidden="1"/>
    <cellStyle name="Použitý hypertextový odkaz" xfId="3249" builtinId="9" hidden="1"/>
    <cellStyle name="Použitý hypertextový odkaz" xfId="3251" builtinId="9" hidden="1"/>
    <cellStyle name="Použitý hypertextový odkaz" xfId="3253" builtinId="9" hidden="1"/>
    <cellStyle name="Použitý hypertextový odkaz" xfId="3255" builtinId="9" hidden="1"/>
    <cellStyle name="Použitý hypertextový odkaz" xfId="3257" builtinId="9" hidden="1"/>
    <cellStyle name="Použitý hypertextový odkaz" xfId="3259" builtinId="9" hidden="1"/>
    <cellStyle name="Použitý hypertextový odkaz" xfId="3261" builtinId="9" hidden="1"/>
    <cellStyle name="Použitý hypertextový odkaz" xfId="3263" builtinId="9" hidden="1"/>
    <cellStyle name="Použitý hypertextový odkaz" xfId="3265" builtinId="9" hidden="1"/>
    <cellStyle name="Použitý hypertextový odkaz" xfId="3267" builtinId="9" hidden="1"/>
    <cellStyle name="Použitý hypertextový odkaz" xfId="3269" builtinId="9" hidden="1"/>
    <cellStyle name="Použitý hypertextový odkaz" xfId="3271" builtinId="9" hidden="1"/>
    <cellStyle name="Použitý hypertextový odkaz" xfId="3273" builtinId="9" hidden="1"/>
    <cellStyle name="Použitý hypertextový odkaz" xfId="3275" builtinId="9" hidden="1"/>
    <cellStyle name="Použitý hypertextový odkaz" xfId="3277" builtinId="9" hidden="1"/>
    <cellStyle name="Použitý hypertextový odkaz" xfId="3279" builtinId="9" hidden="1"/>
    <cellStyle name="Použitý hypertextový odkaz" xfId="3281" builtinId="9" hidden="1"/>
    <cellStyle name="Použitý hypertextový odkaz" xfId="3283" builtinId="9" hidden="1"/>
    <cellStyle name="Použitý hypertextový odkaz" xfId="3285" builtinId="9" hidden="1"/>
    <cellStyle name="Použitý hypertextový odkaz" xfId="3287" builtinId="9" hidden="1"/>
    <cellStyle name="Použitý hypertextový odkaz" xfId="3289" builtinId="9" hidden="1"/>
    <cellStyle name="Použitý hypertextový odkaz" xfId="3291" builtinId="9" hidden="1"/>
    <cellStyle name="Použitý hypertextový odkaz" xfId="3293" builtinId="9" hidden="1"/>
    <cellStyle name="Použitý hypertextový odkaz" xfId="3295" builtinId="9" hidden="1"/>
    <cellStyle name="Použitý hypertextový odkaz" xfId="3297" builtinId="9" hidden="1"/>
    <cellStyle name="Použitý hypertextový odkaz" xfId="3299" builtinId="9" hidden="1"/>
    <cellStyle name="Použitý hypertextový odkaz" xfId="3301" builtinId="9" hidden="1"/>
    <cellStyle name="Použitý hypertextový odkaz" xfId="3303" builtinId="9" hidden="1"/>
    <cellStyle name="Použitý hypertextový odkaz" xfId="3305" builtinId="9" hidden="1"/>
    <cellStyle name="Použitý hypertextový odkaz" xfId="3307" builtinId="9" hidden="1"/>
    <cellStyle name="Použitý hypertextový odkaz" xfId="3309" builtinId="9" hidden="1"/>
    <cellStyle name="Použitý hypertextový odkaz" xfId="3311" builtinId="9" hidden="1"/>
    <cellStyle name="Použitý hypertextový odkaz" xfId="3313" builtinId="9" hidden="1"/>
    <cellStyle name="Použitý hypertextový odkaz" xfId="3315" builtinId="9" hidden="1"/>
    <cellStyle name="Použitý hypertextový odkaz" xfId="3317" builtinId="9" hidden="1"/>
    <cellStyle name="Použitý hypertextový odkaz" xfId="3319" builtinId="9" hidden="1"/>
    <cellStyle name="Použitý hypertextový odkaz" xfId="3321" builtinId="9" hidden="1"/>
    <cellStyle name="Použitý hypertextový odkaz" xfId="3323" builtinId="9" hidden="1"/>
    <cellStyle name="Použitý hypertextový odkaz" xfId="3325" builtinId="9" hidden="1"/>
    <cellStyle name="Použitý hypertextový odkaz" xfId="3327" builtinId="9" hidden="1"/>
    <cellStyle name="Použitý hypertextový odkaz" xfId="3329" builtinId="9" hidden="1"/>
    <cellStyle name="Použitý hypertextový odkaz" xfId="3331" builtinId="9" hidden="1"/>
    <cellStyle name="Použitý hypertextový odkaz" xfId="3333" builtinId="9" hidden="1"/>
    <cellStyle name="Použitý hypertextový odkaz" xfId="3335" builtinId="9" hidden="1"/>
    <cellStyle name="Použitý hypertextový odkaz" xfId="3337" builtinId="9" hidden="1"/>
    <cellStyle name="Použitý hypertextový odkaz" xfId="3339" builtinId="9" hidden="1"/>
    <cellStyle name="Použitý hypertextový odkaz" xfId="3341" builtinId="9" hidden="1"/>
    <cellStyle name="Použitý hypertextový odkaz" xfId="3343" builtinId="9" hidden="1"/>
    <cellStyle name="Použitý hypertextový odkaz" xfId="3345" builtinId="9" hidden="1"/>
    <cellStyle name="Použitý hypertextový odkaz" xfId="3347" builtinId="9" hidden="1"/>
    <cellStyle name="Použitý hypertextový odkaz" xfId="3349" builtinId="9" hidden="1"/>
    <cellStyle name="Použitý hypertextový odkaz" xfId="3351" builtinId="9" hidden="1"/>
    <cellStyle name="Použitý hypertextový odkaz" xfId="3353" builtinId="9" hidden="1"/>
    <cellStyle name="Použitý hypertextový odkaz" xfId="3355" builtinId="9" hidden="1"/>
    <cellStyle name="Použitý hypertextový odkaz" xfId="3357" builtinId="9" hidden="1"/>
    <cellStyle name="Použitý hypertextový odkaz" xfId="3359" builtinId="9" hidden="1"/>
    <cellStyle name="Použitý hypertextový odkaz" xfId="3361" builtinId="9" hidden="1"/>
    <cellStyle name="Použitý hypertextový odkaz" xfId="3363" builtinId="9" hidden="1"/>
    <cellStyle name="Použitý hypertextový odkaz" xfId="3365" builtinId="9" hidden="1"/>
    <cellStyle name="Použitý hypertextový odkaz" xfId="3367" builtinId="9" hidden="1"/>
    <cellStyle name="Použitý hypertextový odkaz" xfId="3369" builtinId="9" hidden="1"/>
    <cellStyle name="Použitý hypertextový odkaz" xfId="3371" builtinId="9" hidden="1"/>
    <cellStyle name="Použitý hypertextový odkaz" xfId="3373" builtinId="9" hidden="1"/>
    <cellStyle name="Použitý hypertextový odkaz" xfId="3375" builtinId="9" hidden="1"/>
    <cellStyle name="Použitý hypertextový odkaz" xfId="3377" builtinId="9" hidden="1"/>
    <cellStyle name="Použitý hypertextový odkaz" xfId="3379" builtinId="9" hidden="1"/>
    <cellStyle name="Použitý hypertextový odkaz" xfId="3381" builtinId="9" hidden="1"/>
    <cellStyle name="Použitý hypertextový odkaz" xfId="3383" builtinId="9" hidden="1"/>
    <cellStyle name="Použitý hypertextový odkaz" xfId="3385" builtinId="9" hidden="1"/>
    <cellStyle name="Použitý hypertextový odkaz" xfId="3387" builtinId="9" hidden="1"/>
    <cellStyle name="Použitý hypertextový odkaz" xfId="3389" builtinId="9" hidden="1"/>
    <cellStyle name="Použitý hypertextový odkaz" xfId="3391" builtinId="9" hidden="1"/>
    <cellStyle name="Použitý hypertextový odkaz" xfId="3393" builtinId="9" hidden="1"/>
    <cellStyle name="Použitý hypertextový odkaz" xfId="3395" builtinId="9" hidden="1"/>
    <cellStyle name="Použitý hypertextový odkaz" xfId="3397" builtinId="9" hidden="1"/>
    <cellStyle name="Použitý hypertextový odkaz" xfId="3399" builtinId="9" hidden="1"/>
    <cellStyle name="Použitý hypertextový odkaz" xfId="3401" builtinId="9" hidden="1"/>
    <cellStyle name="Použitý hypertextový odkaz" xfId="3403" builtinId="9" hidden="1"/>
    <cellStyle name="Použitý hypertextový odkaz" xfId="3405" builtinId="9" hidden="1"/>
    <cellStyle name="Použitý hypertextový odkaz" xfId="3407" builtinId="9" hidden="1"/>
    <cellStyle name="Použitý hypertextový odkaz" xfId="3409" builtinId="9" hidden="1"/>
    <cellStyle name="Použitý hypertextový odkaz" xfId="3411" builtinId="9" hidden="1"/>
    <cellStyle name="Použitý hypertextový odkaz" xfId="3413" builtinId="9" hidden="1"/>
    <cellStyle name="Použitý hypertextový odkaz" xfId="3415" builtinId="9" hidden="1"/>
    <cellStyle name="Použitý hypertextový odkaz" xfId="3417" builtinId="9" hidden="1"/>
    <cellStyle name="Použitý hypertextový odkaz" xfId="3419" builtinId="9" hidden="1"/>
    <cellStyle name="Použitý hypertextový odkaz" xfId="3421" builtinId="9" hidden="1"/>
    <cellStyle name="Použitý hypertextový odkaz" xfId="3423" builtinId="9" hidden="1"/>
    <cellStyle name="Použitý hypertextový odkaz" xfId="3425" builtinId="9" hidden="1"/>
    <cellStyle name="Použitý hypertextový odkaz" xfId="3427" builtinId="9" hidden="1"/>
    <cellStyle name="Použitý hypertextový odkaz" xfId="3429" builtinId="9" hidden="1"/>
    <cellStyle name="Použitý hypertextový odkaz" xfId="3431" builtinId="9" hidden="1"/>
    <cellStyle name="Použitý hypertextový odkaz" xfId="3433" builtinId="9" hidden="1"/>
    <cellStyle name="Použitý hypertextový odkaz" xfId="3435" builtinId="9" hidden="1"/>
    <cellStyle name="Použitý hypertextový odkaz" xfId="3437" builtinId="9" hidden="1"/>
    <cellStyle name="Použitý hypertextový odkaz" xfId="3439" builtinId="9" hidden="1"/>
    <cellStyle name="Použitý hypertextový odkaz" xfId="3441" builtinId="9" hidden="1"/>
    <cellStyle name="Použitý hypertextový odkaz" xfId="3443" builtinId="9" hidden="1"/>
    <cellStyle name="Použitý hypertextový odkaz" xfId="3445" builtinId="9" hidden="1"/>
    <cellStyle name="Použitý hypertextový odkaz" xfId="3447" builtinId="9" hidden="1"/>
    <cellStyle name="Použitý hypertextový odkaz" xfId="3449" builtinId="9" hidden="1"/>
    <cellStyle name="Použitý hypertextový odkaz" xfId="3451" builtinId="9" hidden="1"/>
    <cellStyle name="Použitý hypertextový odkaz" xfId="3453" builtinId="9" hidden="1"/>
    <cellStyle name="Použitý hypertextový odkaz" xfId="3455" builtinId="9" hidden="1"/>
    <cellStyle name="Použitý hypertextový odkaz" xfId="3457" builtinId="9" hidden="1"/>
    <cellStyle name="Použitý hypertextový odkaz" xfId="3459" builtinId="9" hidden="1"/>
    <cellStyle name="Použitý hypertextový odkaz" xfId="3461" builtinId="9" hidden="1"/>
    <cellStyle name="Použitý hypertextový odkaz" xfId="3463" builtinId="9" hidden="1"/>
    <cellStyle name="Použitý hypertextový odkaz" xfId="3465" builtinId="9" hidden="1"/>
    <cellStyle name="Použitý hypertextový odkaz" xfId="3467" builtinId="9" hidden="1"/>
    <cellStyle name="Použitý hypertextový odkaz" xfId="3469" builtinId="9" hidden="1"/>
    <cellStyle name="Použitý hypertextový odkaz" xfId="3471" builtinId="9" hidden="1"/>
    <cellStyle name="Použitý hypertextový odkaz" xfId="3473" builtinId="9" hidden="1"/>
    <cellStyle name="Použitý hypertextový odkaz" xfId="3475" builtinId="9" hidden="1"/>
    <cellStyle name="Použitý hypertextový odkaz" xfId="3477" builtinId="9" hidden="1"/>
    <cellStyle name="Použitý hypertextový odkaz" xfId="3479" builtinId="9" hidden="1"/>
    <cellStyle name="Použitý hypertextový odkaz" xfId="3481" builtinId="9" hidden="1"/>
    <cellStyle name="Použitý hypertextový odkaz" xfId="3483" builtinId="9" hidden="1"/>
    <cellStyle name="Použitý hypertextový odkaz" xfId="3485" builtinId="9" hidden="1"/>
    <cellStyle name="Použitý hypertextový odkaz" xfId="3487" builtinId="9" hidden="1"/>
    <cellStyle name="Použitý hypertextový odkaz" xfId="3489" builtinId="9" hidden="1"/>
    <cellStyle name="Použitý hypertextový odkaz" xfId="3491" builtinId="9" hidden="1"/>
    <cellStyle name="Použitý hypertextový odkaz" xfId="3493" builtinId="9" hidden="1"/>
    <cellStyle name="Použitý hypertextový odkaz" xfId="3495" builtinId="9" hidden="1"/>
    <cellStyle name="Použitý hypertextový odkaz" xfId="3497" builtinId="9" hidden="1"/>
    <cellStyle name="Použitý hypertextový odkaz" xfId="3499" builtinId="9" hidden="1"/>
    <cellStyle name="Použitý hypertextový odkaz" xfId="3504" builtinId="9" hidden="1"/>
    <cellStyle name="Použitý hypertextový odkaz" xfId="3506" builtinId="9" hidden="1"/>
    <cellStyle name="Použitý hypertextový odkaz" xfId="3508" builtinId="9" hidden="1"/>
    <cellStyle name="Použitý hypertextový odkaz" xfId="3510" builtinId="9" hidden="1"/>
    <cellStyle name="Použitý hypertextový odkaz" xfId="3512" builtinId="9" hidden="1"/>
    <cellStyle name="Použitý hypertextový odkaz" xfId="3514" builtinId="9" hidden="1"/>
    <cellStyle name="Použitý hypertextový odkaz" xfId="3516" builtinId="9" hidden="1"/>
    <cellStyle name="Použitý hypertextový odkaz" xfId="3518" builtinId="9" hidden="1"/>
    <cellStyle name="Použitý hypertextový odkaz" xfId="3520" builtinId="9" hidden="1"/>
    <cellStyle name="Použitý hypertextový odkaz" xfId="3522" builtinId="9" hidden="1"/>
    <cellStyle name="Použitý hypertextový odkaz" xfId="3524" builtinId="9" hidden="1"/>
    <cellStyle name="Použitý hypertextový odkaz" xfId="3526" builtinId="9" hidden="1"/>
    <cellStyle name="Použitý hypertextový odkaz" xfId="3528" builtinId="9" hidden="1"/>
    <cellStyle name="Použitý hypertextový odkaz" xfId="3530" builtinId="9" hidden="1"/>
    <cellStyle name="Použitý hypertextový odkaz" xfId="3532" builtinId="9" hidden="1"/>
    <cellStyle name="Použitý hypertextový odkaz" xfId="3534" builtinId="9" hidden="1"/>
    <cellStyle name="Použitý hypertextový odkaz" xfId="3536" builtinId="9" hidden="1"/>
    <cellStyle name="Použitý hypertextový odkaz" xfId="3538" builtinId="9" hidden="1"/>
    <cellStyle name="Použitý hypertextový odkaz" xfId="3540" builtinId="9" hidden="1"/>
    <cellStyle name="Použitý hypertextový odkaz" xfId="3542" builtinId="9" hidden="1"/>
    <cellStyle name="Použitý hypertextový odkaz" xfId="3544" builtinId="9" hidden="1"/>
    <cellStyle name="Použitý hypertextový odkaz" xfId="3546" builtinId="9" hidden="1"/>
    <cellStyle name="Použitý hypertextový odkaz" xfId="3548" builtinId="9" hidden="1"/>
    <cellStyle name="Použitý hypertextový odkaz" xfId="3550" builtinId="9" hidden="1"/>
    <cellStyle name="Použitý hypertextový odkaz" xfId="3552" builtinId="9" hidden="1"/>
    <cellStyle name="Použitý hypertextový odkaz" xfId="3554" builtinId="9" hidden="1"/>
    <cellStyle name="Poznámka 2" xfId="723"/>
    <cellStyle name="procent 2" xfId="724"/>
    <cellStyle name="Procenta" xfId="2" builtinId="5"/>
    <cellStyle name="Propojená buňka 2" xfId="725"/>
    <cellStyle name="Správně" xfId="2993" builtinId="26"/>
    <cellStyle name="Správně 2" xfId="726"/>
    <cellStyle name="Standard_sheet1_inv_requ" xfId="207"/>
    <cellStyle name="Text upozornění 2" xfId="727"/>
    <cellStyle name="Vstup 2" xfId="728"/>
    <cellStyle name="Výpočet 2" xfId="729"/>
    <cellStyle name="Výstup 2" xfId="730"/>
    <cellStyle name="Vysvětlující text 2" xfId="731"/>
    <cellStyle name="Zvýraznění 1 2" xfId="732"/>
    <cellStyle name="Zvýraznění 2 2" xfId="733"/>
    <cellStyle name="Zvýraznění 3 2" xfId="734"/>
    <cellStyle name="Zvýraznění 4 2" xfId="735"/>
    <cellStyle name="Zvýraznění 5 2" xfId="736"/>
    <cellStyle name="Zvýraznění 6 2" xfId="7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300182</xdr:colOff>
      <xdr:row>3</xdr:row>
      <xdr:rowOff>57727</xdr:rowOff>
    </xdr:from>
    <xdr:to>
      <xdr:col>5</xdr:col>
      <xdr:colOff>646545</xdr:colOff>
      <xdr:row>3</xdr:row>
      <xdr:rowOff>496455</xdr:rowOff>
    </xdr:to>
    <xdr:sp macro="" textlink="">
      <xdr:nvSpPr>
        <xdr:cNvPr id="2" name="Down Arrow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300182" y="646545"/>
          <a:ext cx="346363" cy="438728"/>
        </a:xfrm>
        <a:prstGeom prst="down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175491</xdr:colOff>
      <xdr:row>4</xdr:row>
      <xdr:rowOff>94672</xdr:rowOff>
    </xdr:from>
    <xdr:to>
      <xdr:col>17</xdr:col>
      <xdr:colOff>521854</xdr:colOff>
      <xdr:row>4</xdr:row>
      <xdr:rowOff>533400</xdr:rowOff>
    </xdr:to>
    <xdr:sp macro="" textlink="">
      <xdr:nvSpPr>
        <xdr:cNvPr id="3" name="Down Arrow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12009582" y="1260763"/>
          <a:ext cx="346363" cy="438728"/>
        </a:xfrm>
        <a:prstGeom prst="down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rybicka/Library/Containers/com.apple.mail/Data/Library/Mail%20Downloads/ED297756-239A-4457-8866-F2F95CB90B59/Fastra_manazerska%20vysledovka%202017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ar"/>
      <sheetName val="COCKPIT"/>
      <sheetName val="grafy"/>
      <sheetName val="SHRNUTI TRZBY"/>
      <sheetName val="SHRNUTI VZZ"/>
      <sheetName val="FC presnost"/>
      <sheetName val="VZZ_komp_1"/>
      <sheetName val="a"/>
      <sheetName val="VZZ_trend_1"/>
      <sheetName val="b"/>
      <sheetName val="1_FASTRA s.r.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>
            <v>0</v>
          </cell>
          <cell r="B1" t="str">
            <v>Manažerská výsledovka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</row>
        <row r="2">
          <cell r="A2">
            <v>0</v>
          </cell>
          <cell r="B2">
            <v>0</v>
          </cell>
          <cell r="C2">
            <v>42736</v>
          </cell>
          <cell r="D2">
            <v>42767</v>
          </cell>
          <cell r="E2">
            <v>42795</v>
          </cell>
          <cell r="F2">
            <v>42826</v>
          </cell>
          <cell r="G2">
            <v>42856</v>
          </cell>
          <cell r="H2">
            <v>42887</v>
          </cell>
          <cell r="I2">
            <v>42917</v>
          </cell>
          <cell r="J2">
            <v>42948</v>
          </cell>
          <cell r="K2">
            <v>42979</v>
          </cell>
          <cell r="L2">
            <v>43009</v>
          </cell>
          <cell r="M2">
            <v>43040</v>
          </cell>
          <cell r="N2">
            <v>43070</v>
          </cell>
          <cell r="O2">
            <v>0</v>
          </cell>
          <cell r="P2">
            <v>42736</v>
          </cell>
          <cell r="Q2">
            <v>42767</v>
          </cell>
          <cell r="R2">
            <v>42795</v>
          </cell>
          <cell r="S2">
            <v>42826</v>
          </cell>
          <cell r="T2">
            <v>42856</v>
          </cell>
          <cell r="U2">
            <v>42887</v>
          </cell>
          <cell r="V2">
            <v>42917</v>
          </cell>
          <cell r="W2">
            <v>42948</v>
          </cell>
          <cell r="X2">
            <v>42979</v>
          </cell>
          <cell r="Y2">
            <v>43009</v>
          </cell>
          <cell r="Z2">
            <v>43040</v>
          </cell>
          <cell r="AA2">
            <v>43070</v>
          </cell>
          <cell r="AC2">
            <v>42370</v>
          </cell>
          <cell r="AD2">
            <v>42401</v>
          </cell>
          <cell r="AE2">
            <v>42430</v>
          </cell>
          <cell r="AF2">
            <v>42461</v>
          </cell>
          <cell r="AG2">
            <v>42491</v>
          </cell>
          <cell r="AH2">
            <v>42522</v>
          </cell>
          <cell r="AI2">
            <v>42552</v>
          </cell>
          <cell r="AJ2">
            <v>42583</v>
          </cell>
          <cell r="AK2">
            <v>42614</v>
          </cell>
          <cell r="AL2">
            <v>42644</v>
          </cell>
          <cell r="AM2">
            <v>42675</v>
          </cell>
          <cell r="AN2">
            <v>42705</v>
          </cell>
          <cell r="AO2">
            <v>0</v>
          </cell>
          <cell r="AP2">
            <v>42370</v>
          </cell>
          <cell r="AQ2">
            <v>42401</v>
          </cell>
          <cell r="AR2">
            <v>42430</v>
          </cell>
          <cell r="AS2">
            <v>42461</v>
          </cell>
          <cell r="AT2">
            <v>42491</v>
          </cell>
          <cell r="AU2">
            <v>42522</v>
          </cell>
          <cell r="AV2">
            <v>42552</v>
          </cell>
          <cell r="AW2">
            <v>42583</v>
          </cell>
          <cell r="AX2">
            <v>42614</v>
          </cell>
          <cell r="AY2">
            <v>42644</v>
          </cell>
          <cell r="AZ2">
            <v>42675</v>
          </cell>
          <cell r="BA2">
            <v>42705</v>
          </cell>
          <cell r="BC2">
            <v>42736</v>
          </cell>
          <cell r="BD2">
            <v>42767</v>
          </cell>
          <cell r="BE2">
            <v>42795</v>
          </cell>
          <cell r="BF2">
            <v>42826</v>
          </cell>
          <cell r="BG2">
            <v>42856</v>
          </cell>
          <cell r="BH2">
            <v>42887</v>
          </cell>
          <cell r="BI2">
            <v>42917</v>
          </cell>
          <cell r="BJ2">
            <v>42948</v>
          </cell>
          <cell r="BK2">
            <v>42979</v>
          </cell>
          <cell r="BL2">
            <v>43009</v>
          </cell>
          <cell r="BM2">
            <v>43040</v>
          </cell>
          <cell r="BN2">
            <v>43070</v>
          </cell>
          <cell r="BP2">
            <v>42736</v>
          </cell>
          <cell r="BQ2">
            <v>42767</v>
          </cell>
          <cell r="BR2">
            <v>42795</v>
          </cell>
          <cell r="BS2">
            <v>42826</v>
          </cell>
          <cell r="BT2">
            <v>42856</v>
          </cell>
          <cell r="BU2">
            <v>42887</v>
          </cell>
          <cell r="BV2">
            <v>42917</v>
          </cell>
          <cell r="BW2">
            <v>42948</v>
          </cell>
          <cell r="BX2">
            <v>42979</v>
          </cell>
          <cell r="BY2">
            <v>43009</v>
          </cell>
          <cell r="BZ2">
            <v>43040</v>
          </cell>
          <cell r="CA2">
            <v>43070</v>
          </cell>
        </row>
        <row r="3">
          <cell r="A3">
            <v>0</v>
          </cell>
          <cell r="B3">
            <v>0</v>
          </cell>
          <cell r="C3" t="str">
            <v>kum</v>
          </cell>
          <cell r="D3" t="str">
            <v>kum</v>
          </cell>
          <cell r="E3" t="str">
            <v>kum</v>
          </cell>
          <cell r="F3" t="str">
            <v>kum</v>
          </cell>
          <cell r="G3" t="str">
            <v>kum</v>
          </cell>
          <cell r="H3" t="str">
            <v>kum</v>
          </cell>
          <cell r="I3" t="str">
            <v>kum</v>
          </cell>
          <cell r="J3" t="str">
            <v>kum</v>
          </cell>
          <cell r="K3" t="str">
            <v>kum</v>
          </cell>
          <cell r="L3" t="str">
            <v>kum</v>
          </cell>
          <cell r="M3" t="str">
            <v>kum</v>
          </cell>
          <cell r="N3" t="str">
            <v>kum</v>
          </cell>
          <cell r="O3">
            <v>0</v>
          </cell>
          <cell r="P3" t="str">
            <v>měsíc</v>
          </cell>
          <cell r="Q3" t="str">
            <v>měsíc</v>
          </cell>
          <cell r="R3" t="str">
            <v>měsíc</v>
          </cell>
          <cell r="S3" t="str">
            <v>měsíc</v>
          </cell>
          <cell r="T3" t="str">
            <v>měsíc</v>
          </cell>
          <cell r="U3" t="str">
            <v>měsíc</v>
          </cell>
          <cell r="V3" t="str">
            <v>měsíc</v>
          </cell>
          <cell r="W3" t="str">
            <v>měsíc</v>
          </cell>
          <cell r="X3" t="str">
            <v>měsíc</v>
          </cell>
          <cell r="Y3" t="str">
            <v>měsíc</v>
          </cell>
          <cell r="Z3" t="str">
            <v>měsíc</v>
          </cell>
          <cell r="AA3" t="str">
            <v>měsíc</v>
          </cell>
          <cell r="AC3" t="str">
            <v>kum</v>
          </cell>
          <cell r="AD3" t="str">
            <v>kum</v>
          </cell>
          <cell r="AE3" t="str">
            <v>kum</v>
          </cell>
          <cell r="AF3" t="str">
            <v>kum</v>
          </cell>
          <cell r="AG3" t="str">
            <v>kum</v>
          </cell>
          <cell r="AH3" t="str">
            <v>kum</v>
          </cell>
          <cell r="AI3" t="str">
            <v>kum</v>
          </cell>
          <cell r="AJ3" t="str">
            <v>kum</v>
          </cell>
          <cell r="AK3" t="str">
            <v>kum</v>
          </cell>
          <cell r="AL3" t="str">
            <v>kum</v>
          </cell>
          <cell r="AM3" t="str">
            <v>kum</v>
          </cell>
          <cell r="AN3" t="str">
            <v>kum</v>
          </cell>
          <cell r="AO3">
            <v>0</v>
          </cell>
          <cell r="AP3" t="str">
            <v>měsíc</v>
          </cell>
          <cell r="AQ3" t="str">
            <v>měsíc</v>
          </cell>
          <cell r="AR3" t="str">
            <v>měsíc</v>
          </cell>
          <cell r="AS3" t="str">
            <v>měsíc</v>
          </cell>
          <cell r="AT3" t="str">
            <v>měsíc</v>
          </cell>
          <cell r="AU3" t="str">
            <v>měsíc</v>
          </cell>
          <cell r="AV3" t="str">
            <v>měsíc</v>
          </cell>
          <cell r="AW3" t="str">
            <v>měsíc</v>
          </cell>
          <cell r="AX3" t="str">
            <v>měsíc</v>
          </cell>
          <cell r="AY3" t="str">
            <v>měsíc</v>
          </cell>
          <cell r="AZ3" t="str">
            <v>měsíc</v>
          </cell>
          <cell r="BA3" t="str">
            <v>měsíc</v>
          </cell>
          <cell r="BC3" t="str">
            <v>kum</v>
          </cell>
          <cell r="BD3" t="str">
            <v>kum</v>
          </cell>
          <cell r="BE3" t="str">
            <v>kum</v>
          </cell>
          <cell r="BF3" t="str">
            <v>kum</v>
          </cell>
          <cell r="BG3" t="str">
            <v>kum</v>
          </cell>
          <cell r="BH3" t="str">
            <v>kum</v>
          </cell>
          <cell r="BI3" t="str">
            <v>kum</v>
          </cell>
          <cell r="BJ3" t="str">
            <v>kum</v>
          </cell>
          <cell r="BK3" t="str">
            <v>kum</v>
          </cell>
          <cell r="BL3" t="str">
            <v>kum</v>
          </cell>
          <cell r="BM3" t="str">
            <v>kum</v>
          </cell>
          <cell r="BN3" t="str">
            <v>kum</v>
          </cell>
          <cell r="BP3" t="str">
            <v>měsíc</v>
          </cell>
          <cell r="BQ3" t="str">
            <v>měsíc</v>
          </cell>
          <cell r="BR3" t="str">
            <v>měsíc</v>
          </cell>
          <cell r="BS3" t="str">
            <v>měsíc</v>
          </cell>
          <cell r="BT3" t="str">
            <v>měsíc</v>
          </cell>
          <cell r="BU3" t="str">
            <v>měsíc</v>
          </cell>
          <cell r="BV3" t="str">
            <v>měsíc</v>
          </cell>
          <cell r="BW3" t="str">
            <v>měsíc</v>
          </cell>
          <cell r="BX3" t="str">
            <v>měsíc</v>
          </cell>
          <cell r="BY3" t="str">
            <v>měsíc</v>
          </cell>
          <cell r="BZ3" t="str">
            <v>měsíc</v>
          </cell>
          <cell r="CA3" t="str">
            <v>měsíc</v>
          </cell>
        </row>
        <row r="4">
          <cell r="A4">
            <v>0</v>
          </cell>
          <cell r="B4" t="str">
            <v>(CZK)</v>
          </cell>
          <cell r="C4" t="str">
            <v>akt</v>
          </cell>
          <cell r="D4" t="str">
            <v>akt</v>
          </cell>
          <cell r="E4" t="str">
            <v>akt</v>
          </cell>
          <cell r="F4" t="str">
            <v>akt</v>
          </cell>
          <cell r="G4" t="str">
            <v>akt</v>
          </cell>
          <cell r="H4" t="str">
            <v>akt</v>
          </cell>
          <cell r="I4" t="str">
            <v>akt</v>
          </cell>
          <cell r="J4" t="str">
            <v>akt</v>
          </cell>
          <cell r="K4" t="str">
            <v>akt</v>
          </cell>
          <cell r="L4" t="str">
            <v>akt</v>
          </cell>
          <cell r="M4" t="str">
            <v>akt</v>
          </cell>
          <cell r="N4" t="str">
            <v>akt</v>
          </cell>
          <cell r="O4">
            <v>0</v>
          </cell>
          <cell r="P4" t="str">
            <v>akt</v>
          </cell>
          <cell r="Q4" t="str">
            <v>akt</v>
          </cell>
          <cell r="R4" t="str">
            <v>akt</v>
          </cell>
          <cell r="S4" t="str">
            <v>akt</v>
          </cell>
          <cell r="T4" t="str">
            <v>akt</v>
          </cell>
          <cell r="U4" t="str">
            <v>akt</v>
          </cell>
          <cell r="V4" t="str">
            <v>akt</v>
          </cell>
          <cell r="W4" t="str">
            <v>akt</v>
          </cell>
          <cell r="X4" t="str">
            <v>akt</v>
          </cell>
          <cell r="Y4" t="str">
            <v>akt</v>
          </cell>
          <cell r="Z4" t="str">
            <v>akt</v>
          </cell>
          <cell r="AA4" t="str">
            <v>akt</v>
          </cell>
          <cell r="AC4" t="str">
            <v>min. rok</v>
          </cell>
          <cell r="AD4" t="str">
            <v>min. rok</v>
          </cell>
          <cell r="AE4" t="str">
            <v>min. rok</v>
          </cell>
          <cell r="AF4" t="str">
            <v>min. rok</v>
          </cell>
          <cell r="AG4" t="str">
            <v>min. rok</v>
          </cell>
          <cell r="AH4" t="str">
            <v>min. rok</v>
          </cell>
          <cell r="AI4" t="str">
            <v>min. rok</v>
          </cell>
          <cell r="AJ4" t="str">
            <v>min. rok</v>
          </cell>
          <cell r="AK4" t="str">
            <v>min. rok</v>
          </cell>
          <cell r="AL4" t="str">
            <v>min. rok</v>
          </cell>
          <cell r="AM4" t="str">
            <v>min. rok</v>
          </cell>
          <cell r="AN4" t="str">
            <v>min. rok</v>
          </cell>
          <cell r="AO4">
            <v>0</v>
          </cell>
          <cell r="AP4" t="str">
            <v>min. rok</v>
          </cell>
          <cell r="AQ4" t="str">
            <v>min. rok</v>
          </cell>
          <cell r="AR4" t="str">
            <v>min. rok</v>
          </cell>
          <cell r="AS4" t="str">
            <v>min. rok</v>
          </cell>
          <cell r="AT4" t="str">
            <v>min. rok</v>
          </cell>
          <cell r="AU4" t="str">
            <v>min. rok</v>
          </cell>
          <cell r="AV4" t="str">
            <v>min. rok</v>
          </cell>
          <cell r="AW4" t="str">
            <v>min. rok</v>
          </cell>
          <cell r="AX4" t="str">
            <v>min. rok</v>
          </cell>
          <cell r="AY4" t="str">
            <v>min. rok</v>
          </cell>
          <cell r="AZ4" t="str">
            <v>min. rok</v>
          </cell>
          <cell r="BA4" t="str">
            <v>min. rok</v>
          </cell>
          <cell r="BC4" t="str">
            <v>FC</v>
          </cell>
          <cell r="BD4" t="str">
            <v>FC</v>
          </cell>
          <cell r="BE4" t="str">
            <v>FC</v>
          </cell>
          <cell r="BF4" t="str">
            <v>FC</v>
          </cell>
          <cell r="BG4" t="str">
            <v>FC</v>
          </cell>
          <cell r="BH4" t="str">
            <v>FC</v>
          </cell>
          <cell r="BI4" t="str">
            <v>FC</v>
          </cell>
          <cell r="BJ4" t="str">
            <v>FC</v>
          </cell>
          <cell r="BK4" t="str">
            <v>FC</v>
          </cell>
          <cell r="BL4" t="str">
            <v>FC</v>
          </cell>
          <cell r="BM4" t="str">
            <v>FC</v>
          </cell>
          <cell r="BN4" t="str">
            <v>FC</v>
          </cell>
          <cell r="BP4" t="str">
            <v>FC</v>
          </cell>
          <cell r="BQ4" t="str">
            <v>FC</v>
          </cell>
          <cell r="BR4" t="str">
            <v>FC</v>
          </cell>
          <cell r="BS4" t="str">
            <v>FC</v>
          </cell>
          <cell r="BT4" t="str">
            <v>FC</v>
          </cell>
          <cell r="BU4" t="str">
            <v>FC</v>
          </cell>
          <cell r="BV4" t="str">
            <v>FC</v>
          </cell>
          <cell r="BW4" t="str">
            <v>FC</v>
          </cell>
          <cell r="BX4" t="str">
            <v>FC</v>
          </cell>
          <cell r="BY4" t="str">
            <v>FC</v>
          </cell>
          <cell r="BZ4" t="str">
            <v>FC</v>
          </cell>
          <cell r="CA4" t="str">
            <v>FC</v>
          </cell>
        </row>
        <row r="5">
          <cell r="A5">
            <v>1100</v>
          </cell>
          <cell r="B5" t="str">
            <v>Tržby - výrobky</v>
          </cell>
          <cell r="C5">
            <v>560008.16</v>
          </cell>
          <cell r="D5">
            <v>1814543.9200000002</v>
          </cell>
          <cell r="E5">
            <v>4531876.1100000003</v>
          </cell>
          <cell r="F5">
            <v>11193859.629999999</v>
          </cell>
          <cell r="G5">
            <v>13862335.91</v>
          </cell>
          <cell r="H5">
            <v>17357206.170000002</v>
          </cell>
          <cell r="I5">
            <v>19313898.259999998</v>
          </cell>
          <cell r="J5">
            <v>23000382.109999999</v>
          </cell>
          <cell r="K5">
            <v>24817800.880000003</v>
          </cell>
          <cell r="L5">
            <v>27381441.800000004</v>
          </cell>
          <cell r="M5">
            <v>29004720.400000006</v>
          </cell>
          <cell r="N5">
            <v>30398547.790000007</v>
          </cell>
          <cell r="O5">
            <v>0</v>
          </cell>
          <cell r="P5">
            <v>560008.16</v>
          </cell>
          <cell r="Q5">
            <v>1254535.7600000002</v>
          </cell>
          <cell r="R5">
            <v>2717332.1900000004</v>
          </cell>
          <cell r="S5">
            <v>6661983.5199999986</v>
          </cell>
          <cell r="T5">
            <v>2668476.2800000012</v>
          </cell>
          <cell r="U5">
            <v>3494870.2600000016</v>
          </cell>
          <cell r="V5">
            <v>1956692.0899999961</v>
          </cell>
          <cell r="W5">
            <v>3686483.8500000015</v>
          </cell>
          <cell r="X5">
            <v>1817418.7700000033</v>
          </cell>
          <cell r="Y5">
            <v>2563640.9200000018</v>
          </cell>
          <cell r="Z5">
            <v>1623278.6000000015</v>
          </cell>
          <cell r="AA5">
            <v>1393827.3900000006</v>
          </cell>
          <cell r="AC5">
            <v>585433.37</v>
          </cell>
          <cell r="AD5">
            <v>2852933.52</v>
          </cell>
          <cell r="AE5">
            <v>6083437.4500000002</v>
          </cell>
          <cell r="AF5">
            <v>8821957.3900000006</v>
          </cell>
          <cell r="AG5">
            <v>12073918.77</v>
          </cell>
          <cell r="AH5">
            <v>14663642.890000001</v>
          </cell>
          <cell r="AI5">
            <v>16287817.380000001</v>
          </cell>
          <cell r="AJ5">
            <v>19231163.699999999</v>
          </cell>
          <cell r="AK5">
            <v>22047221.27</v>
          </cell>
          <cell r="AL5">
            <v>26064646.439999998</v>
          </cell>
          <cell r="AM5">
            <v>29099874.5</v>
          </cell>
          <cell r="AN5">
            <v>31788130.099999998</v>
          </cell>
          <cell r="AO5">
            <v>0</v>
          </cell>
          <cell r="AP5">
            <v>585433.37</v>
          </cell>
          <cell r="AQ5">
            <v>2267500.15</v>
          </cell>
          <cell r="AR5">
            <v>3230503.93</v>
          </cell>
          <cell r="AS5">
            <v>2738519.9400000004</v>
          </cell>
          <cell r="AT5">
            <v>3251961.379999999</v>
          </cell>
          <cell r="AU5">
            <v>2589724.120000001</v>
          </cell>
          <cell r="AV5">
            <v>1624174.4900000002</v>
          </cell>
          <cell r="AW5">
            <v>2943346.3199999984</v>
          </cell>
          <cell r="AX5">
            <v>2816057.5700000003</v>
          </cell>
          <cell r="AY5">
            <v>4017425.1699999981</v>
          </cell>
          <cell r="AZ5">
            <v>3035228.0600000024</v>
          </cell>
          <cell r="BA5">
            <v>2688255.5999999978</v>
          </cell>
          <cell r="BC5">
            <v>560008.16</v>
          </cell>
          <cell r="BD5">
            <v>1814543.9200000002</v>
          </cell>
          <cell r="BE5">
            <v>4531876.1100000003</v>
          </cell>
          <cell r="BF5">
            <v>11193859.629999999</v>
          </cell>
          <cell r="BG5">
            <v>13862335.91</v>
          </cell>
          <cell r="BH5">
            <v>17357206.170000002</v>
          </cell>
          <cell r="BI5">
            <v>19313898.259999998</v>
          </cell>
          <cell r="BJ5">
            <v>23000382.109999999</v>
          </cell>
          <cell r="BK5">
            <v>24817800.880000003</v>
          </cell>
          <cell r="BL5">
            <v>27381441.800000004</v>
          </cell>
          <cell r="BM5">
            <v>29004720.400000006</v>
          </cell>
          <cell r="BN5">
            <v>30398547.790000007</v>
          </cell>
          <cell r="BO5">
            <v>0</v>
          </cell>
          <cell r="BP5">
            <v>560008.16</v>
          </cell>
          <cell r="BQ5">
            <v>1254535.7600000002</v>
          </cell>
          <cell r="BR5">
            <v>2717332.1900000004</v>
          </cell>
          <cell r="BS5">
            <v>6661983.5199999986</v>
          </cell>
          <cell r="BT5">
            <v>2668476.2800000012</v>
          </cell>
          <cell r="BU5">
            <v>3494870.2600000016</v>
          </cell>
          <cell r="BV5">
            <v>1956692.0899999961</v>
          </cell>
          <cell r="BW5">
            <v>3686483.8500000015</v>
          </cell>
          <cell r="BX5">
            <v>1817418.7700000033</v>
          </cell>
          <cell r="BY5">
            <v>2563640.9200000018</v>
          </cell>
          <cell r="BZ5">
            <v>1623278.6000000015</v>
          </cell>
          <cell r="CA5">
            <v>1393827.3900000006</v>
          </cell>
        </row>
        <row r="6">
          <cell r="A6">
            <v>1200</v>
          </cell>
          <cell r="B6" t="str">
            <v>Tržby - služby</v>
          </cell>
          <cell r="C6">
            <v>1444</v>
          </cell>
          <cell r="D6">
            <v>170782.49000000002</v>
          </cell>
          <cell r="E6">
            <v>2045521.58</v>
          </cell>
          <cell r="F6">
            <v>2523711.71</v>
          </cell>
          <cell r="G6">
            <v>2985099.5300000003</v>
          </cell>
          <cell r="H6">
            <v>4291013.92</v>
          </cell>
          <cell r="I6">
            <v>4627677.2700000005</v>
          </cell>
          <cell r="J6">
            <v>6829529.3600000003</v>
          </cell>
          <cell r="K6">
            <v>9044256.2199999988</v>
          </cell>
          <cell r="L6">
            <v>10382608.530000001</v>
          </cell>
          <cell r="M6">
            <v>11011685.15</v>
          </cell>
          <cell r="N6">
            <v>11638547.08</v>
          </cell>
          <cell r="O6">
            <v>0</v>
          </cell>
          <cell r="P6">
            <v>1444</v>
          </cell>
          <cell r="Q6">
            <v>169338.49000000002</v>
          </cell>
          <cell r="R6">
            <v>1874739.09</v>
          </cell>
          <cell r="S6">
            <v>478190.12999999989</v>
          </cell>
          <cell r="T6">
            <v>461387.8200000003</v>
          </cell>
          <cell r="U6">
            <v>1305914.3899999997</v>
          </cell>
          <cell r="V6">
            <v>336663.35000000056</v>
          </cell>
          <cell r="W6">
            <v>2201852.09</v>
          </cell>
          <cell r="X6">
            <v>2214726.8599999985</v>
          </cell>
          <cell r="Y6">
            <v>1338352.3100000024</v>
          </cell>
          <cell r="Z6">
            <v>629076.61999999918</v>
          </cell>
          <cell r="AA6">
            <v>626861.9299999997</v>
          </cell>
          <cell r="AC6">
            <v>298629.10000000003</v>
          </cell>
          <cell r="AD6">
            <v>410936.39</v>
          </cell>
          <cell r="AE6">
            <v>1438634.37</v>
          </cell>
          <cell r="AF6">
            <v>2647904.6999999997</v>
          </cell>
          <cell r="AG6">
            <v>3913824.79</v>
          </cell>
          <cell r="AH6">
            <v>4694857.2499999991</v>
          </cell>
          <cell r="AI6">
            <v>6062682.4499999993</v>
          </cell>
          <cell r="AJ6">
            <v>8337760.2399999993</v>
          </cell>
          <cell r="AK6">
            <v>9702809.9799999986</v>
          </cell>
          <cell r="AL6">
            <v>10965858.560000001</v>
          </cell>
          <cell r="AM6">
            <v>12527147.250000002</v>
          </cell>
          <cell r="AN6">
            <v>13585442.789999999</v>
          </cell>
          <cell r="AO6">
            <v>0</v>
          </cell>
          <cell r="AP6">
            <v>298629.10000000003</v>
          </cell>
          <cell r="AQ6">
            <v>112307.28999999998</v>
          </cell>
          <cell r="AR6">
            <v>1027697.9800000001</v>
          </cell>
          <cell r="AS6">
            <v>1209270.3299999996</v>
          </cell>
          <cell r="AT6">
            <v>1265920.0900000003</v>
          </cell>
          <cell r="AU6">
            <v>781032.45999999903</v>
          </cell>
          <cell r="AV6">
            <v>1367825.2000000002</v>
          </cell>
          <cell r="AW6">
            <v>2275077.79</v>
          </cell>
          <cell r="AX6">
            <v>1365049.7399999993</v>
          </cell>
          <cell r="AY6">
            <v>1263048.5800000019</v>
          </cell>
          <cell r="AZ6">
            <v>1561288.6900000013</v>
          </cell>
          <cell r="BA6">
            <v>1058295.5399999972</v>
          </cell>
          <cell r="BC6">
            <v>1444</v>
          </cell>
          <cell r="BD6">
            <v>170782.49000000002</v>
          </cell>
          <cell r="BE6">
            <v>2045521.58</v>
          </cell>
          <cell r="BF6">
            <v>2523711.71</v>
          </cell>
          <cell r="BG6">
            <v>2985099.5300000003</v>
          </cell>
          <cell r="BH6">
            <v>4291013.92</v>
          </cell>
          <cell r="BI6">
            <v>4627677.2700000005</v>
          </cell>
          <cell r="BJ6">
            <v>6829529.3600000003</v>
          </cell>
          <cell r="BK6">
            <v>9044256.2199999988</v>
          </cell>
          <cell r="BL6">
            <v>10382608.530000001</v>
          </cell>
          <cell r="BM6">
            <v>11011685.15</v>
          </cell>
          <cell r="BN6">
            <v>11638547.08</v>
          </cell>
          <cell r="BO6">
            <v>0</v>
          </cell>
          <cell r="BP6">
            <v>1444</v>
          </cell>
          <cell r="BQ6">
            <v>169338.49000000002</v>
          </cell>
          <cell r="BR6">
            <v>1874739.09</v>
          </cell>
          <cell r="BS6">
            <v>478190.12999999989</v>
          </cell>
          <cell r="BT6">
            <v>461387.8200000003</v>
          </cell>
          <cell r="BU6">
            <v>1305914.3899999997</v>
          </cell>
          <cell r="BV6">
            <v>336663.35000000056</v>
          </cell>
          <cell r="BW6">
            <v>2201852.09</v>
          </cell>
          <cell r="BX6">
            <v>2214726.8599999985</v>
          </cell>
          <cell r="BY6">
            <v>1338352.3100000024</v>
          </cell>
          <cell r="BZ6">
            <v>629076.61999999918</v>
          </cell>
          <cell r="CA6">
            <v>626861.9299999997</v>
          </cell>
        </row>
        <row r="7">
          <cell r="A7">
            <v>1300</v>
          </cell>
          <cell r="B7" t="str">
            <v>Tržby - zboží</v>
          </cell>
          <cell r="C7">
            <v>496480</v>
          </cell>
          <cell r="D7">
            <v>1085381.51</v>
          </cell>
          <cell r="E7">
            <v>3119794</v>
          </cell>
          <cell r="F7">
            <v>5994057.6099999994</v>
          </cell>
          <cell r="G7">
            <v>9865479.0799999982</v>
          </cell>
          <cell r="H7">
            <v>12819451.140000001</v>
          </cell>
          <cell r="I7">
            <v>15706930.07</v>
          </cell>
          <cell r="J7">
            <v>18884645.439999998</v>
          </cell>
          <cell r="K7">
            <v>21207500.959999997</v>
          </cell>
          <cell r="L7">
            <v>23209095.039999995</v>
          </cell>
          <cell r="M7">
            <v>24189027.669999994</v>
          </cell>
          <cell r="N7">
            <v>24627846.619999997</v>
          </cell>
          <cell r="O7">
            <v>0</v>
          </cell>
          <cell r="P7">
            <v>496480</v>
          </cell>
          <cell r="Q7">
            <v>588901.51</v>
          </cell>
          <cell r="R7">
            <v>2034412.49</v>
          </cell>
          <cell r="S7">
            <v>2874263.6099999994</v>
          </cell>
          <cell r="T7">
            <v>3871421.4699999988</v>
          </cell>
          <cell r="U7">
            <v>2953972.0600000024</v>
          </cell>
          <cell r="V7">
            <v>2887478.9299999997</v>
          </cell>
          <cell r="W7">
            <v>3177715.3699999973</v>
          </cell>
          <cell r="X7">
            <v>2322855.5199999996</v>
          </cell>
          <cell r="Y7">
            <v>2001594.0799999982</v>
          </cell>
          <cell r="Z7">
            <v>979932.62999999896</v>
          </cell>
          <cell r="AA7">
            <v>438818.95000000298</v>
          </cell>
          <cell r="AC7">
            <v>136526.9</v>
          </cell>
          <cell r="AD7">
            <v>1757751.34</v>
          </cell>
          <cell r="AE7">
            <v>4452906.7300000004</v>
          </cell>
          <cell r="AF7">
            <v>7665899.4699999997</v>
          </cell>
          <cell r="AG7">
            <v>10774241.120000001</v>
          </cell>
          <cell r="AH7">
            <v>13655967.310000001</v>
          </cell>
          <cell r="AI7">
            <v>15742081.530000001</v>
          </cell>
          <cell r="AJ7">
            <v>18523074.82</v>
          </cell>
          <cell r="AK7">
            <v>20162714.169999998</v>
          </cell>
          <cell r="AL7">
            <v>22703006.649999999</v>
          </cell>
          <cell r="AM7">
            <v>23873676.989999998</v>
          </cell>
          <cell r="AN7">
            <v>24318275.07</v>
          </cell>
          <cell r="AO7">
            <v>0</v>
          </cell>
          <cell r="AP7">
            <v>136526.9</v>
          </cell>
          <cell r="AQ7">
            <v>1621224.4400000002</v>
          </cell>
          <cell r="AR7">
            <v>2695155.3900000006</v>
          </cell>
          <cell r="AS7">
            <v>3212992.7399999993</v>
          </cell>
          <cell r="AT7">
            <v>3108341.6500000013</v>
          </cell>
          <cell r="AU7">
            <v>2881726.1899999995</v>
          </cell>
          <cell r="AV7">
            <v>2086114.2200000007</v>
          </cell>
          <cell r="AW7">
            <v>2780993.2899999991</v>
          </cell>
          <cell r="AX7">
            <v>1639639.3499999978</v>
          </cell>
          <cell r="AY7">
            <v>2540292.4800000004</v>
          </cell>
          <cell r="AZ7">
            <v>1170670.3399999999</v>
          </cell>
          <cell r="BA7">
            <v>444598.08000000194</v>
          </cell>
          <cell r="BC7">
            <v>496480</v>
          </cell>
          <cell r="BD7">
            <v>1085381.51</v>
          </cell>
          <cell r="BE7">
            <v>3119794</v>
          </cell>
          <cell r="BF7">
            <v>5994057.6099999994</v>
          </cell>
          <cell r="BG7">
            <v>9865479.0799999982</v>
          </cell>
          <cell r="BH7">
            <v>12819451.140000001</v>
          </cell>
          <cell r="BI7">
            <v>15706930.07</v>
          </cell>
          <cell r="BJ7">
            <v>18884645.439999998</v>
          </cell>
          <cell r="BK7">
            <v>21207500.959999997</v>
          </cell>
          <cell r="BL7">
            <v>23209095.039999995</v>
          </cell>
          <cell r="BM7">
            <v>24189027.669999994</v>
          </cell>
          <cell r="BN7">
            <v>24627846.619999997</v>
          </cell>
          <cell r="BO7">
            <v>0</v>
          </cell>
          <cell r="BP7">
            <v>496480</v>
          </cell>
          <cell r="BQ7">
            <v>588901.51</v>
          </cell>
          <cell r="BR7">
            <v>2034412.49</v>
          </cell>
          <cell r="BS7">
            <v>2874263.6099999994</v>
          </cell>
          <cell r="BT7">
            <v>3871421.4699999988</v>
          </cell>
          <cell r="BU7">
            <v>2953972.0600000024</v>
          </cell>
          <cell r="BV7">
            <v>2887478.9299999997</v>
          </cell>
          <cell r="BW7">
            <v>3177715.3699999973</v>
          </cell>
          <cell r="BX7">
            <v>2322855.5199999996</v>
          </cell>
          <cell r="BY7">
            <v>2001594.0799999982</v>
          </cell>
          <cell r="BZ7">
            <v>979932.62999999896</v>
          </cell>
          <cell r="CA7">
            <v>438818.95000000298</v>
          </cell>
        </row>
        <row r="8">
          <cell r="A8">
            <v>1400</v>
          </cell>
          <cell r="B8" t="str">
            <v>Tržby - řezivo</v>
          </cell>
          <cell r="C8">
            <v>163207.04000000001</v>
          </cell>
          <cell r="D8">
            <v>286572.19</v>
          </cell>
          <cell r="E8">
            <v>648703.92000000004</v>
          </cell>
          <cell r="F8">
            <v>1079473.27</v>
          </cell>
          <cell r="G8">
            <v>1616545.3399999999</v>
          </cell>
          <cell r="H8">
            <v>2033991.19</v>
          </cell>
          <cell r="I8">
            <v>2660984.0300000003</v>
          </cell>
          <cell r="J8">
            <v>3329842.62</v>
          </cell>
          <cell r="K8">
            <v>3963280.4400000004</v>
          </cell>
          <cell r="L8">
            <v>4406756.5500000007</v>
          </cell>
          <cell r="M8">
            <v>4760051.540000001</v>
          </cell>
          <cell r="N8">
            <v>5161703.4200000009</v>
          </cell>
          <cell r="O8">
            <v>0</v>
          </cell>
          <cell r="P8">
            <v>163207.04000000001</v>
          </cell>
          <cell r="Q8">
            <v>123365.15</v>
          </cell>
          <cell r="R8">
            <v>362131.73000000004</v>
          </cell>
          <cell r="S8">
            <v>430769.35</v>
          </cell>
          <cell r="T8">
            <v>537072.06999999983</v>
          </cell>
          <cell r="U8">
            <v>417445.85000000009</v>
          </cell>
          <cell r="V8">
            <v>626992.84000000032</v>
          </cell>
          <cell r="W8">
            <v>668858.58999999985</v>
          </cell>
          <cell r="X8">
            <v>633437.8200000003</v>
          </cell>
          <cell r="Y8">
            <v>443476.11000000034</v>
          </cell>
          <cell r="Z8">
            <v>353294.99000000022</v>
          </cell>
          <cell r="AA8">
            <v>401651.87999999989</v>
          </cell>
          <cell r="AC8">
            <v>261452.37</v>
          </cell>
          <cell r="AD8">
            <v>462382.18</v>
          </cell>
          <cell r="AE8">
            <v>741458.16</v>
          </cell>
          <cell r="AF8">
            <v>1134391.9500000002</v>
          </cell>
          <cell r="AG8">
            <v>1462356.1800000002</v>
          </cell>
          <cell r="AH8">
            <v>1789802.8900000001</v>
          </cell>
          <cell r="AI8">
            <v>1994214.2400000002</v>
          </cell>
          <cell r="AJ8">
            <v>2315518.6</v>
          </cell>
          <cell r="AK8">
            <v>2696431.23</v>
          </cell>
          <cell r="AL8">
            <v>3044409.79</v>
          </cell>
          <cell r="AM8">
            <v>3350263.72</v>
          </cell>
          <cell r="AN8">
            <v>3631012.33</v>
          </cell>
          <cell r="AO8">
            <v>0</v>
          </cell>
          <cell r="AP8">
            <v>261452.37</v>
          </cell>
          <cell r="AQ8">
            <v>200929.81</v>
          </cell>
          <cell r="AR8">
            <v>279075.98000000004</v>
          </cell>
          <cell r="AS8">
            <v>392933.79000000015</v>
          </cell>
          <cell r="AT8">
            <v>327964.23</v>
          </cell>
          <cell r="AU8">
            <v>327446.70999999996</v>
          </cell>
          <cell r="AV8">
            <v>204411.35000000009</v>
          </cell>
          <cell r="AW8">
            <v>321304.35999999987</v>
          </cell>
          <cell r="AX8">
            <v>380912.62999999989</v>
          </cell>
          <cell r="AY8">
            <v>347978.56000000006</v>
          </cell>
          <cell r="AZ8">
            <v>305853.93000000017</v>
          </cell>
          <cell r="BA8">
            <v>280748.60999999987</v>
          </cell>
          <cell r="BC8">
            <v>163207.04000000001</v>
          </cell>
          <cell r="BD8">
            <v>286572.19</v>
          </cell>
          <cell r="BE8">
            <v>648703.92000000004</v>
          </cell>
          <cell r="BF8">
            <v>1079473.27</v>
          </cell>
          <cell r="BG8">
            <v>1616545.3399999999</v>
          </cell>
          <cell r="BH8">
            <v>2033991.19</v>
          </cell>
          <cell r="BI8">
            <v>2660984.0300000003</v>
          </cell>
          <cell r="BJ8">
            <v>3329842.62</v>
          </cell>
          <cell r="BK8">
            <v>3963280.4400000004</v>
          </cell>
          <cell r="BL8">
            <v>4406756.5500000007</v>
          </cell>
          <cell r="BM8">
            <v>4760051.540000001</v>
          </cell>
          <cell r="BN8">
            <v>5161703.4200000009</v>
          </cell>
          <cell r="BO8">
            <v>0</v>
          </cell>
          <cell r="BP8">
            <v>163207.04000000001</v>
          </cell>
          <cell r="BQ8">
            <v>123365.15</v>
          </cell>
          <cell r="BR8">
            <v>362131.73000000004</v>
          </cell>
          <cell r="BS8">
            <v>430769.35</v>
          </cell>
          <cell r="BT8">
            <v>537072.06999999983</v>
          </cell>
          <cell r="BU8">
            <v>417445.85000000009</v>
          </cell>
          <cell r="BV8">
            <v>626992.84000000032</v>
          </cell>
          <cell r="BW8">
            <v>668858.58999999985</v>
          </cell>
          <cell r="BX8">
            <v>633437.8200000003</v>
          </cell>
          <cell r="BY8">
            <v>443476.11000000034</v>
          </cell>
          <cell r="BZ8">
            <v>353294.99000000022</v>
          </cell>
          <cell r="CA8">
            <v>401651.87999999989</v>
          </cell>
        </row>
        <row r="9">
          <cell r="A9">
            <v>1500</v>
          </cell>
          <cell r="B9" t="str">
            <v>Tržby - nájem</v>
          </cell>
          <cell r="C9">
            <v>53245.350000000006</v>
          </cell>
          <cell r="D9">
            <v>81165.52</v>
          </cell>
          <cell r="E9">
            <v>112077.13</v>
          </cell>
          <cell r="F9">
            <v>149187.81</v>
          </cell>
          <cell r="G9">
            <v>187229.86</v>
          </cell>
          <cell r="H9">
            <v>224340.56</v>
          </cell>
          <cell r="I9">
            <v>282348.94</v>
          </cell>
          <cell r="J9">
            <v>340357.32</v>
          </cell>
          <cell r="K9">
            <v>396790.28</v>
          </cell>
          <cell r="L9">
            <v>454581.27</v>
          </cell>
          <cell r="M9">
            <v>511449</v>
          </cell>
          <cell r="N9">
            <v>569240</v>
          </cell>
          <cell r="O9">
            <v>0</v>
          </cell>
          <cell r="P9">
            <v>53245.350000000006</v>
          </cell>
          <cell r="Q9">
            <v>27920.17</v>
          </cell>
          <cell r="R9">
            <v>30911.61</v>
          </cell>
          <cell r="S9">
            <v>37110.679999999993</v>
          </cell>
          <cell r="T9">
            <v>38042.049999999988</v>
          </cell>
          <cell r="U9">
            <v>37110.700000000012</v>
          </cell>
          <cell r="V9">
            <v>58008.380000000005</v>
          </cell>
          <cell r="W9">
            <v>58008.380000000005</v>
          </cell>
          <cell r="X9">
            <v>56432.960000000021</v>
          </cell>
          <cell r="Y9">
            <v>57790.989999999991</v>
          </cell>
          <cell r="Z9">
            <v>56867.729999999981</v>
          </cell>
          <cell r="AA9">
            <v>57791</v>
          </cell>
          <cell r="AC9">
            <v>193870.41999999998</v>
          </cell>
          <cell r="AD9">
            <v>203040.41999999998</v>
          </cell>
          <cell r="AE9">
            <v>212210.41999999998</v>
          </cell>
          <cell r="AF9">
            <v>289180.42</v>
          </cell>
          <cell r="AG9">
            <v>298350.42</v>
          </cell>
          <cell r="AH9">
            <v>307520.42</v>
          </cell>
          <cell r="AI9">
            <v>384490.42</v>
          </cell>
          <cell r="AJ9">
            <v>393660.42</v>
          </cell>
          <cell r="AK9">
            <v>402830.42</v>
          </cell>
          <cell r="AL9">
            <v>479800.42</v>
          </cell>
          <cell r="AM9">
            <v>488970.42</v>
          </cell>
          <cell r="AN9">
            <v>498140.42</v>
          </cell>
          <cell r="AO9">
            <v>0</v>
          </cell>
          <cell r="AP9">
            <v>193870.41999999998</v>
          </cell>
          <cell r="AQ9">
            <v>9170</v>
          </cell>
          <cell r="AR9">
            <v>9170</v>
          </cell>
          <cell r="AS9">
            <v>76970</v>
          </cell>
          <cell r="AT9">
            <v>9170</v>
          </cell>
          <cell r="AU9">
            <v>9170</v>
          </cell>
          <cell r="AV9">
            <v>76970</v>
          </cell>
          <cell r="AW9">
            <v>9170</v>
          </cell>
          <cell r="AX9">
            <v>9170</v>
          </cell>
          <cell r="AY9">
            <v>76970</v>
          </cell>
          <cell r="AZ9">
            <v>9170</v>
          </cell>
          <cell r="BA9">
            <v>9170</v>
          </cell>
          <cell r="BC9">
            <v>53245.350000000006</v>
          </cell>
          <cell r="BD9">
            <v>81165.52</v>
          </cell>
          <cell r="BE9">
            <v>112077.13</v>
          </cell>
          <cell r="BF9">
            <v>149187.81</v>
          </cell>
          <cell r="BG9">
            <v>187229.86</v>
          </cell>
          <cell r="BH9">
            <v>224340.56</v>
          </cell>
          <cell r="BI9">
            <v>282348.94</v>
          </cell>
          <cell r="BJ9">
            <v>340357.32</v>
          </cell>
          <cell r="BK9">
            <v>396790.28</v>
          </cell>
          <cell r="BL9">
            <v>454581.27</v>
          </cell>
          <cell r="BM9">
            <v>511449</v>
          </cell>
          <cell r="BN9">
            <v>569240</v>
          </cell>
          <cell r="BO9">
            <v>0</v>
          </cell>
          <cell r="BP9">
            <v>53245.350000000006</v>
          </cell>
          <cell r="BQ9">
            <v>27920.17</v>
          </cell>
          <cell r="BR9">
            <v>30911.61</v>
          </cell>
          <cell r="BS9">
            <v>37110.679999999993</v>
          </cell>
          <cell r="BT9">
            <v>38042.049999999988</v>
          </cell>
          <cell r="BU9">
            <v>37110.700000000012</v>
          </cell>
          <cell r="BV9">
            <v>58008.380000000005</v>
          </cell>
          <cell r="BW9">
            <v>58008.380000000005</v>
          </cell>
          <cell r="BX9">
            <v>56432.960000000021</v>
          </cell>
          <cell r="BY9">
            <v>57790.989999999991</v>
          </cell>
          <cell r="BZ9">
            <v>56867.729999999981</v>
          </cell>
          <cell r="CA9">
            <v>57791</v>
          </cell>
        </row>
        <row r="10">
          <cell r="A10">
            <v>9000</v>
          </cell>
          <cell r="B10" t="str">
            <v>Tržby</v>
          </cell>
          <cell r="C10">
            <v>1274384.5500000003</v>
          </cell>
          <cell r="D10">
            <v>3438445.63</v>
          </cell>
          <cell r="E10">
            <v>10457972.740000002</v>
          </cell>
          <cell r="F10">
            <v>20940290.029999997</v>
          </cell>
          <cell r="G10">
            <v>28516689.719999999</v>
          </cell>
          <cell r="H10">
            <v>36726002.980000004</v>
          </cell>
          <cell r="I10">
            <v>42591838.569999993</v>
          </cell>
          <cell r="J10">
            <v>52384756.849999994</v>
          </cell>
          <cell r="K10">
            <v>59429628.780000001</v>
          </cell>
          <cell r="L10">
            <v>65834483.190000005</v>
          </cell>
          <cell r="M10">
            <v>69476933.760000005</v>
          </cell>
          <cell r="N10">
            <v>72395884.909999996</v>
          </cell>
          <cell r="O10">
            <v>0</v>
          </cell>
          <cell r="P10">
            <v>1274384.5500000003</v>
          </cell>
          <cell r="Q10">
            <v>2164061.08</v>
          </cell>
          <cell r="R10">
            <v>7019527.1100000013</v>
          </cell>
          <cell r="S10">
            <v>10482317.289999997</v>
          </cell>
          <cell r="T10">
            <v>7576399.6900000004</v>
          </cell>
          <cell r="U10">
            <v>8209313.2600000044</v>
          </cell>
          <cell r="V10">
            <v>5865835.5899999971</v>
          </cell>
          <cell r="W10">
            <v>9792918.2799999993</v>
          </cell>
          <cell r="X10">
            <v>7044871.9300000016</v>
          </cell>
          <cell r="Y10">
            <v>6404854.4100000029</v>
          </cell>
          <cell r="Z10">
            <v>3642450.57</v>
          </cell>
          <cell r="AA10">
            <v>2918951.1500000032</v>
          </cell>
          <cell r="AC10">
            <v>1475912.16</v>
          </cell>
          <cell r="AD10">
            <v>5687043.8499999996</v>
          </cell>
          <cell r="AE10">
            <v>12928647.130000001</v>
          </cell>
          <cell r="AF10">
            <v>20559333.93</v>
          </cell>
          <cell r="AG10">
            <v>28522691.280000001</v>
          </cell>
          <cell r="AH10">
            <v>35111790.760000005</v>
          </cell>
          <cell r="AI10">
            <v>40471286.020000003</v>
          </cell>
          <cell r="AJ10">
            <v>48801177.780000001</v>
          </cell>
          <cell r="AK10">
            <v>55012007.07</v>
          </cell>
          <cell r="AL10">
            <v>63257721.859999999</v>
          </cell>
          <cell r="AM10">
            <v>69339932.879999995</v>
          </cell>
          <cell r="AN10">
            <v>73821000.710000008</v>
          </cell>
          <cell r="AO10">
            <v>0</v>
          </cell>
          <cell r="AP10">
            <v>1475912.16</v>
          </cell>
          <cell r="AQ10">
            <v>4211131.6899999995</v>
          </cell>
          <cell r="AR10">
            <v>7241603.2800000012</v>
          </cell>
          <cell r="AS10">
            <v>7630686.7999999998</v>
          </cell>
          <cell r="AT10">
            <v>7963357.3499999996</v>
          </cell>
          <cell r="AU10">
            <v>6589099.4799999995</v>
          </cell>
          <cell r="AV10">
            <v>5359495.2600000016</v>
          </cell>
          <cell r="AW10">
            <v>8329891.7599999979</v>
          </cell>
          <cell r="AX10">
            <v>6210829.2899999972</v>
          </cell>
          <cell r="AY10">
            <v>8245714.790000001</v>
          </cell>
          <cell r="AZ10">
            <v>6082211.0200000033</v>
          </cell>
          <cell r="BA10">
            <v>4481067.8299999963</v>
          </cell>
          <cell r="BC10">
            <v>1274384.5500000003</v>
          </cell>
          <cell r="BD10">
            <v>3438445.63</v>
          </cell>
          <cell r="BE10">
            <v>10457972.740000002</v>
          </cell>
          <cell r="BF10">
            <v>20940290.029999997</v>
          </cell>
          <cell r="BG10">
            <v>28516689.719999999</v>
          </cell>
          <cell r="BH10">
            <v>36726002.980000004</v>
          </cell>
          <cell r="BI10">
            <v>42591838.569999993</v>
          </cell>
          <cell r="BJ10">
            <v>52384756.849999994</v>
          </cell>
          <cell r="BK10">
            <v>59429628.780000001</v>
          </cell>
          <cell r="BL10">
            <v>65834483.190000005</v>
          </cell>
          <cell r="BM10">
            <v>69476933.760000005</v>
          </cell>
          <cell r="BN10">
            <v>72395884.909999996</v>
          </cell>
          <cell r="BO10">
            <v>0</v>
          </cell>
          <cell r="BP10">
            <v>1274384.5500000003</v>
          </cell>
          <cell r="BQ10">
            <v>2164061.08</v>
          </cell>
          <cell r="BR10">
            <v>7019527.1100000013</v>
          </cell>
          <cell r="BS10">
            <v>10482317.289999997</v>
          </cell>
          <cell r="BT10">
            <v>7576399.6900000004</v>
          </cell>
          <cell r="BU10">
            <v>8209313.2600000044</v>
          </cell>
          <cell r="BV10">
            <v>5865835.5899999971</v>
          </cell>
          <cell r="BW10">
            <v>9792918.2799999993</v>
          </cell>
          <cell r="BX10">
            <v>7044871.9300000016</v>
          </cell>
          <cell r="BY10">
            <v>6404854.4100000029</v>
          </cell>
          <cell r="BZ10">
            <v>3642450.57</v>
          </cell>
          <cell r="CA10">
            <v>2918951.1500000032</v>
          </cell>
        </row>
        <row r="11">
          <cell r="A11">
            <v>2110</v>
          </cell>
          <cell r="B11" t="str">
            <v>Přímý materiál - výroba</v>
          </cell>
          <cell r="C11">
            <v>7244318.9800000004</v>
          </cell>
          <cell r="D11">
            <v>8079863.4800000004</v>
          </cell>
          <cell r="E11">
            <v>8936726.1300000008</v>
          </cell>
          <cell r="F11">
            <v>10779655.260000002</v>
          </cell>
          <cell r="G11">
            <v>11645985.390000002</v>
          </cell>
          <cell r="H11">
            <v>3381122.8800000027</v>
          </cell>
          <cell r="I11">
            <v>3914655.6600000025</v>
          </cell>
          <cell r="J11">
            <v>5014224.5200000023</v>
          </cell>
          <cell r="K11">
            <v>5424237.0400000028</v>
          </cell>
          <cell r="L11">
            <v>5901454.3800000027</v>
          </cell>
          <cell r="M11">
            <v>6063608.200000003</v>
          </cell>
          <cell r="N11">
            <v>8235411.9600000028</v>
          </cell>
          <cell r="O11">
            <v>0</v>
          </cell>
          <cell r="P11">
            <v>7244318.9800000004</v>
          </cell>
          <cell r="Q11">
            <v>835544.5</v>
          </cell>
          <cell r="R11">
            <v>856862.65000000037</v>
          </cell>
          <cell r="S11">
            <v>1842929.1300000008</v>
          </cell>
          <cell r="T11">
            <v>866330.13000000082</v>
          </cell>
          <cell r="U11">
            <v>-8264862.5099999998</v>
          </cell>
          <cell r="V11">
            <v>533532.7799999998</v>
          </cell>
          <cell r="W11">
            <v>1099568.8599999999</v>
          </cell>
          <cell r="X11">
            <v>410012.52000000048</v>
          </cell>
          <cell r="Y11">
            <v>477217.33999999985</v>
          </cell>
          <cell r="Z11">
            <v>162153.8200000003</v>
          </cell>
          <cell r="AA11">
            <v>2171803.7599999998</v>
          </cell>
          <cell r="AC11">
            <v>4347903.34</v>
          </cell>
          <cell r="AD11">
            <v>5081387.72</v>
          </cell>
          <cell r="AE11">
            <v>6015107.2599999998</v>
          </cell>
          <cell r="AF11">
            <v>6604607.5800000001</v>
          </cell>
          <cell r="AG11">
            <v>7566814.1299999999</v>
          </cell>
          <cell r="AH11">
            <v>8650501.6099999994</v>
          </cell>
          <cell r="AI11">
            <v>9411170.2899999991</v>
          </cell>
          <cell r="AJ11">
            <v>11145653.969999999</v>
          </cell>
          <cell r="AK11">
            <v>12626129.199999999</v>
          </cell>
          <cell r="AL11">
            <v>14388417.109999999</v>
          </cell>
          <cell r="AM11">
            <v>15008903.389999999</v>
          </cell>
          <cell r="AN11">
            <v>8360295.3699999992</v>
          </cell>
          <cell r="AO11">
            <v>0</v>
          </cell>
          <cell r="AP11">
            <v>4347903.34</v>
          </cell>
          <cell r="AQ11">
            <v>733484.37999999989</v>
          </cell>
          <cell r="AR11">
            <v>933719.54</v>
          </cell>
          <cell r="AS11">
            <v>589500.3200000003</v>
          </cell>
          <cell r="AT11">
            <v>962206.54999999981</v>
          </cell>
          <cell r="AU11">
            <v>1083687.4799999995</v>
          </cell>
          <cell r="AV11">
            <v>760668.6799999997</v>
          </cell>
          <cell r="AW11">
            <v>1734483.6799999997</v>
          </cell>
          <cell r="AX11">
            <v>1480475.2300000004</v>
          </cell>
          <cell r="AY11">
            <v>1762287.9100000001</v>
          </cell>
          <cell r="AZ11">
            <v>620486.27999999933</v>
          </cell>
          <cell r="BA11">
            <v>-6648608.0199999996</v>
          </cell>
          <cell r="BC11">
            <v>7244318.9800000004</v>
          </cell>
          <cell r="BD11">
            <v>8079863.4800000004</v>
          </cell>
          <cell r="BE11">
            <v>8936726.1300000008</v>
          </cell>
          <cell r="BF11">
            <v>10779655.260000002</v>
          </cell>
          <cell r="BG11">
            <v>11645985.390000002</v>
          </cell>
          <cell r="BH11">
            <v>3381122.8800000027</v>
          </cell>
          <cell r="BI11">
            <v>3914655.6600000025</v>
          </cell>
          <cell r="BJ11">
            <v>5014224.5200000023</v>
          </cell>
          <cell r="BK11">
            <v>5424237.0400000028</v>
          </cell>
          <cell r="BL11">
            <v>5901454.3800000027</v>
          </cell>
          <cell r="BM11">
            <v>6063608.200000003</v>
          </cell>
          <cell r="BN11">
            <v>8235411.9600000028</v>
          </cell>
          <cell r="BO11">
            <v>0</v>
          </cell>
          <cell r="BP11">
            <v>7244318.9800000004</v>
          </cell>
          <cell r="BQ11">
            <v>835544.5</v>
          </cell>
          <cell r="BR11">
            <v>856862.65000000037</v>
          </cell>
          <cell r="BS11">
            <v>1842929.1300000008</v>
          </cell>
          <cell r="BT11">
            <v>866330.13000000082</v>
          </cell>
          <cell r="BU11">
            <v>-8264862.5099999998</v>
          </cell>
          <cell r="BV11">
            <v>533532.7799999998</v>
          </cell>
          <cell r="BW11">
            <v>1099568.8599999999</v>
          </cell>
          <cell r="BX11">
            <v>410012.52000000048</v>
          </cell>
          <cell r="BY11">
            <v>477217.33999999985</v>
          </cell>
          <cell r="BZ11">
            <v>162153.8200000003</v>
          </cell>
          <cell r="CA11">
            <v>2171803.7599999998</v>
          </cell>
        </row>
        <row r="12">
          <cell r="A12">
            <v>2120</v>
          </cell>
          <cell r="B12" t="str">
            <v>Přímé mzdy - výroba</v>
          </cell>
          <cell r="C12">
            <v>1065547</v>
          </cell>
          <cell r="D12">
            <v>2254644</v>
          </cell>
          <cell r="E12">
            <v>3751631</v>
          </cell>
          <cell r="F12">
            <v>4969989</v>
          </cell>
          <cell r="G12">
            <v>6330694</v>
          </cell>
          <cell r="H12">
            <v>7600033</v>
          </cell>
          <cell r="I12">
            <v>2083479</v>
          </cell>
          <cell r="J12">
            <v>2354456</v>
          </cell>
          <cell r="K12">
            <v>2636723</v>
          </cell>
          <cell r="L12">
            <v>2944840</v>
          </cell>
          <cell r="M12">
            <v>3251171</v>
          </cell>
          <cell r="N12">
            <v>3577817</v>
          </cell>
          <cell r="O12">
            <v>0</v>
          </cell>
          <cell r="P12">
            <v>1065547</v>
          </cell>
          <cell r="Q12">
            <v>1189097</v>
          </cell>
          <cell r="R12">
            <v>1496987</v>
          </cell>
          <cell r="S12">
            <v>1218358</v>
          </cell>
          <cell r="T12">
            <v>1360705</v>
          </cell>
          <cell r="U12">
            <v>1269339</v>
          </cell>
          <cell r="V12">
            <v>-5516554</v>
          </cell>
          <cell r="W12">
            <v>270977</v>
          </cell>
          <cell r="X12">
            <v>282267</v>
          </cell>
          <cell r="Y12">
            <v>308117</v>
          </cell>
          <cell r="Z12">
            <v>306331</v>
          </cell>
          <cell r="AA12">
            <v>326646</v>
          </cell>
          <cell r="AC12">
            <v>909776</v>
          </cell>
          <cell r="AD12">
            <v>1872152</v>
          </cell>
          <cell r="AE12">
            <v>3025300</v>
          </cell>
          <cell r="AF12">
            <v>4022186</v>
          </cell>
          <cell r="AG12">
            <v>5132649</v>
          </cell>
          <cell r="AH12">
            <v>6324307</v>
          </cell>
          <cell r="AI12">
            <v>7497467</v>
          </cell>
          <cell r="AJ12">
            <v>8640373</v>
          </cell>
          <cell r="AK12">
            <v>9926752</v>
          </cell>
          <cell r="AL12">
            <v>11160450</v>
          </cell>
          <cell r="AM12">
            <v>12433022</v>
          </cell>
          <cell r="AN12">
            <v>14231903</v>
          </cell>
          <cell r="AO12">
            <v>0</v>
          </cell>
          <cell r="AP12">
            <v>909776</v>
          </cell>
          <cell r="AQ12">
            <v>962376</v>
          </cell>
          <cell r="AR12">
            <v>1153148</v>
          </cell>
          <cell r="AS12">
            <v>996886</v>
          </cell>
          <cell r="AT12">
            <v>1110463</v>
          </cell>
          <cell r="AU12">
            <v>1191658</v>
          </cell>
          <cell r="AV12">
            <v>1173160</v>
          </cell>
          <cell r="AW12">
            <v>1142906</v>
          </cell>
          <cell r="AX12">
            <v>1286379</v>
          </cell>
          <cell r="AY12">
            <v>1233698</v>
          </cell>
          <cell r="AZ12">
            <v>1272572</v>
          </cell>
          <cell r="BA12">
            <v>1798881</v>
          </cell>
          <cell r="BC12">
            <v>1065547</v>
          </cell>
          <cell r="BD12">
            <v>2254644</v>
          </cell>
          <cell r="BE12">
            <v>3751631</v>
          </cell>
          <cell r="BF12">
            <v>4969989</v>
          </cell>
          <cell r="BG12">
            <v>6330694</v>
          </cell>
          <cell r="BH12">
            <v>7600033</v>
          </cell>
          <cell r="BI12">
            <v>2083479</v>
          </cell>
          <cell r="BJ12">
            <v>2354456</v>
          </cell>
          <cell r="BK12">
            <v>2636723</v>
          </cell>
          <cell r="BL12">
            <v>2944840</v>
          </cell>
          <cell r="BM12">
            <v>3251171</v>
          </cell>
          <cell r="BN12">
            <v>3577817</v>
          </cell>
          <cell r="BO12">
            <v>0</v>
          </cell>
          <cell r="BP12">
            <v>1065547</v>
          </cell>
          <cell r="BQ12">
            <v>1189097</v>
          </cell>
          <cell r="BR12">
            <v>1496987</v>
          </cell>
          <cell r="BS12">
            <v>1218358</v>
          </cell>
          <cell r="BT12">
            <v>1360705</v>
          </cell>
          <cell r="BU12">
            <v>1269339</v>
          </cell>
          <cell r="BV12">
            <v>-5516554</v>
          </cell>
          <cell r="BW12">
            <v>270977</v>
          </cell>
          <cell r="BX12">
            <v>282267</v>
          </cell>
          <cell r="BY12">
            <v>308117</v>
          </cell>
          <cell r="BZ12">
            <v>306331</v>
          </cell>
          <cell r="CA12">
            <v>326646</v>
          </cell>
        </row>
        <row r="13">
          <cell r="A13">
            <v>2130</v>
          </cell>
          <cell r="B13" t="str">
            <v>Kooperace - výroba</v>
          </cell>
          <cell r="C13">
            <v>16068.31</v>
          </cell>
          <cell r="D13">
            <v>202734.55000000002</v>
          </cell>
          <cell r="E13">
            <v>492202.27</v>
          </cell>
          <cell r="F13">
            <v>648821.63000000012</v>
          </cell>
          <cell r="G13">
            <v>1094599.76</v>
          </cell>
          <cell r="H13">
            <v>1480136.36</v>
          </cell>
          <cell r="I13">
            <v>1634149.2000000002</v>
          </cell>
          <cell r="J13">
            <v>1981224.9700000002</v>
          </cell>
          <cell r="K13">
            <v>2027595.36</v>
          </cell>
          <cell r="L13">
            <v>2350525.19</v>
          </cell>
          <cell r="M13">
            <v>2493364.7199999997</v>
          </cell>
          <cell r="N13">
            <v>2500364.7199999997</v>
          </cell>
          <cell r="O13">
            <v>0</v>
          </cell>
          <cell r="P13">
            <v>16068.31</v>
          </cell>
          <cell r="Q13">
            <v>186666.24000000002</v>
          </cell>
          <cell r="R13">
            <v>289467.71999999997</v>
          </cell>
          <cell r="S13">
            <v>156619.3600000001</v>
          </cell>
          <cell r="T13">
            <v>445778.12999999989</v>
          </cell>
          <cell r="U13">
            <v>385536.60000000009</v>
          </cell>
          <cell r="V13">
            <v>154012.84000000008</v>
          </cell>
          <cell r="W13">
            <v>347075.77</v>
          </cell>
          <cell r="X13">
            <v>46370.389999999898</v>
          </cell>
          <cell r="Y13">
            <v>322929.82999999984</v>
          </cell>
          <cell r="Z13">
            <v>142839.5299999998</v>
          </cell>
          <cell r="AA13">
            <v>7000</v>
          </cell>
          <cell r="AC13">
            <v>0</v>
          </cell>
          <cell r="AD13">
            <v>0</v>
          </cell>
          <cell r="AE13">
            <v>7287</v>
          </cell>
          <cell r="AF13">
            <v>16023.1</v>
          </cell>
          <cell r="AG13">
            <v>21561.1</v>
          </cell>
          <cell r="AH13">
            <v>65101.1</v>
          </cell>
          <cell r="AI13">
            <v>75146.100000000006</v>
          </cell>
          <cell r="AJ13">
            <v>94766.1</v>
          </cell>
          <cell r="AK13">
            <v>102571.05</v>
          </cell>
          <cell r="AL13">
            <v>102571.05</v>
          </cell>
          <cell r="AM13">
            <v>272571.05</v>
          </cell>
          <cell r="AN13">
            <v>1852056.95</v>
          </cell>
          <cell r="AO13">
            <v>0</v>
          </cell>
          <cell r="AP13">
            <v>0</v>
          </cell>
          <cell r="AQ13">
            <v>0</v>
          </cell>
          <cell r="AR13">
            <v>7287</v>
          </cell>
          <cell r="AS13">
            <v>8736.1</v>
          </cell>
          <cell r="AT13">
            <v>5537.9999999999982</v>
          </cell>
          <cell r="AU13">
            <v>43540</v>
          </cell>
          <cell r="AV13">
            <v>10045.000000000007</v>
          </cell>
          <cell r="AW13">
            <v>19620</v>
          </cell>
          <cell r="AX13">
            <v>7804.9499999999971</v>
          </cell>
          <cell r="AY13">
            <v>0</v>
          </cell>
          <cell r="AZ13">
            <v>170000</v>
          </cell>
          <cell r="BA13">
            <v>1579485.9</v>
          </cell>
          <cell r="BC13">
            <v>16068.31</v>
          </cell>
          <cell r="BD13">
            <v>202734.55000000002</v>
          </cell>
          <cell r="BE13">
            <v>492202.27</v>
          </cell>
          <cell r="BF13">
            <v>648821.63000000012</v>
          </cell>
          <cell r="BG13">
            <v>1094599.76</v>
          </cell>
          <cell r="BH13">
            <v>1480136.36</v>
          </cell>
          <cell r="BI13">
            <v>1634149.2000000002</v>
          </cell>
          <cell r="BJ13">
            <v>1981224.9700000002</v>
          </cell>
          <cell r="BK13">
            <v>2027595.36</v>
          </cell>
          <cell r="BL13">
            <v>2350525.19</v>
          </cell>
          <cell r="BM13">
            <v>2493364.7199999997</v>
          </cell>
          <cell r="BN13">
            <v>2500364.7199999997</v>
          </cell>
          <cell r="BO13">
            <v>0</v>
          </cell>
          <cell r="BP13">
            <v>16068.31</v>
          </cell>
          <cell r="BQ13">
            <v>186666.24000000002</v>
          </cell>
          <cell r="BR13">
            <v>289467.71999999997</v>
          </cell>
          <cell r="BS13">
            <v>156619.3600000001</v>
          </cell>
          <cell r="BT13">
            <v>445778.12999999989</v>
          </cell>
          <cell r="BU13">
            <v>385536.60000000009</v>
          </cell>
          <cell r="BV13">
            <v>154012.84000000008</v>
          </cell>
          <cell r="BW13">
            <v>347075.77</v>
          </cell>
          <cell r="BX13">
            <v>46370.389999999898</v>
          </cell>
          <cell r="BY13">
            <v>322929.82999999984</v>
          </cell>
          <cell r="BZ13">
            <v>142839.5299999998</v>
          </cell>
          <cell r="CA13">
            <v>7000</v>
          </cell>
        </row>
        <row r="14">
          <cell r="A14">
            <v>9110</v>
          </cell>
          <cell r="B14" t="str">
            <v>Variabilní náklady - výroba</v>
          </cell>
          <cell r="C14">
            <v>8325934.29</v>
          </cell>
          <cell r="D14">
            <v>10537242.030000001</v>
          </cell>
          <cell r="E14">
            <v>13180559.4</v>
          </cell>
          <cell r="F14">
            <v>16398465.890000002</v>
          </cell>
          <cell r="G14">
            <v>19071279.150000002</v>
          </cell>
          <cell r="H14">
            <v>12461292.240000002</v>
          </cell>
          <cell r="I14">
            <v>7632283.8600000022</v>
          </cell>
          <cell r="J14">
            <v>9349905.4900000021</v>
          </cell>
          <cell r="K14">
            <v>10088555.400000002</v>
          </cell>
          <cell r="L14">
            <v>11196819.570000002</v>
          </cell>
          <cell r="M14">
            <v>11808143.920000002</v>
          </cell>
          <cell r="N14">
            <v>14313593.680000003</v>
          </cell>
          <cell r="O14">
            <v>0</v>
          </cell>
          <cell r="P14">
            <v>8325934.29</v>
          </cell>
          <cell r="Q14">
            <v>2211307.7400000002</v>
          </cell>
          <cell r="R14">
            <v>2643317.37</v>
          </cell>
          <cell r="S14">
            <v>3217906.4900000012</v>
          </cell>
          <cell r="T14">
            <v>2672813.2600000007</v>
          </cell>
          <cell r="U14">
            <v>-6609986.9100000001</v>
          </cell>
          <cell r="V14">
            <v>-4829008.3800000008</v>
          </cell>
          <cell r="W14">
            <v>1717621.63</v>
          </cell>
          <cell r="X14">
            <v>738649.91000000038</v>
          </cell>
          <cell r="Y14">
            <v>1108264.1699999997</v>
          </cell>
          <cell r="Z14">
            <v>611324.35000000009</v>
          </cell>
          <cell r="AA14">
            <v>2505449.7599999998</v>
          </cell>
          <cell r="AC14">
            <v>5257679.34</v>
          </cell>
          <cell r="AD14">
            <v>6953539.7199999997</v>
          </cell>
          <cell r="AE14">
            <v>9047694.2599999998</v>
          </cell>
          <cell r="AF14">
            <v>10642816.68</v>
          </cell>
          <cell r="AG14">
            <v>12721024.229999999</v>
          </cell>
          <cell r="AH14">
            <v>15039909.709999999</v>
          </cell>
          <cell r="AI14">
            <v>16983783.390000001</v>
          </cell>
          <cell r="AJ14">
            <v>19880793.07</v>
          </cell>
          <cell r="AK14">
            <v>22655452.25</v>
          </cell>
          <cell r="AL14">
            <v>25651438.16</v>
          </cell>
          <cell r="AM14">
            <v>27714496.440000001</v>
          </cell>
          <cell r="AN14">
            <v>24444255.319999997</v>
          </cell>
          <cell r="AO14">
            <v>0</v>
          </cell>
          <cell r="AP14">
            <v>5257679.34</v>
          </cell>
          <cell r="AQ14">
            <v>1695860.38</v>
          </cell>
          <cell r="AR14">
            <v>2094154.54</v>
          </cell>
          <cell r="AS14">
            <v>1595122.4200000004</v>
          </cell>
          <cell r="AT14">
            <v>2078207.5499999998</v>
          </cell>
          <cell r="AU14">
            <v>2318885.4799999995</v>
          </cell>
          <cell r="AV14">
            <v>1943873.6799999997</v>
          </cell>
          <cell r="AW14">
            <v>2897009.6799999997</v>
          </cell>
          <cell r="AX14">
            <v>2774659.1800000006</v>
          </cell>
          <cell r="AY14">
            <v>2995985.91</v>
          </cell>
          <cell r="AZ14">
            <v>2063058.2799999993</v>
          </cell>
          <cell r="BA14">
            <v>-3270241.1199999996</v>
          </cell>
          <cell r="BC14">
            <v>8325934.29</v>
          </cell>
          <cell r="BD14">
            <v>10537242.030000001</v>
          </cell>
          <cell r="BE14">
            <v>13180559.4</v>
          </cell>
          <cell r="BF14">
            <v>16398465.890000002</v>
          </cell>
          <cell r="BG14">
            <v>19071279.150000002</v>
          </cell>
          <cell r="BH14">
            <v>12461292.240000002</v>
          </cell>
          <cell r="BI14">
            <v>7632283.8600000022</v>
          </cell>
          <cell r="BJ14">
            <v>9349905.4900000021</v>
          </cell>
          <cell r="BK14">
            <v>10088555.400000002</v>
          </cell>
          <cell r="BL14">
            <v>11196819.570000002</v>
          </cell>
          <cell r="BM14">
            <v>11808143.920000002</v>
          </cell>
          <cell r="BN14">
            <v>14313593.680000003</v>
          </cell>
          <cell r="BO14">
            <v>0</v>
          </cell>
          <cell r="BP14">
            <v>8325934.29</v>
          </cell>
          <cell r="BQ14">
            <v>2211307.7400000002</v>
          </cell>
          <cell r="BR14">
            <v>2643317.37</v>
          </cell>
          <cell r="BS14">
            <v>3217906.4900000012</v>
          </cell>
          <cell r="BT14">
            <v>2672813.2600000007</v>
          </cell>
          <cell r="BU14">
            <v>-6609986.9100000001</v>
          </cell>
          <cell r="BV14">
            <v>-4829008.3800000008</v>
          </cell>
          <cell r="BW14">
            <v>1717621.63</v>
          </cell>
          <cell r="BX14">
            <v>738649.91000000038</v>
          </cell>
          <cell r="BY14">
            <v>1108264.1699999997</v>
          </cell>
          <cell r="BZ14">
            <v>611324.35000000009</v>
          </cell>
          <cell r="CA14">
            <v>2505449.7599999998</v>
          </cell>
        </row>
        <row r="15">
          <cell r="A15">
            <v>2210</v>
          </cell>
          <cell r="B15" t="str">
            <v>Přímý materiál - služby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</row>
        <row r="16">
          <cell r="A16">
            <v>2220</v>
          </cell>
          <cell r="B16" t="str">
            <v>Přímé mzdy - služby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1700388</v>
          </cell>
          <cell r="J16">
            <v>2078445</v>
          </cell>
          <cell r="K16">
            <v>2428081</v>
          </cell>
          <cell r="L16">
            <v>2778035</v>
          </cell>
          <cell r="M16">
            <v>3124956</v>
          </cell>
          <cell r="N16">
            <v>3306463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1700388</v>
          </cell>
          <cell r="W16">
            <v>378057</v>
          </cell>
          <cell r="X16">
            <v>349636</v>
          </cell>
          <cell r="Y16">
            <v>349954</v>
          </cell>
          <cell r="Z16">
            <v>346921</v>
          </cell>
          <cell r="AA16">
            <v>181507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1700388</v>
          </cell>
          <cell r="BJ16">
            <v>2078445</v>
          </cell>
          <cell r="BK16">
            <v>2428081</v>
          </cell>
          <cell r="BL16">
            <v>2778035</v>
          </cell>
          <cell r="BM16">
            <v>3124956</v>
          </cell>
          <cell r="BN16">
            <v>3306463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1700388</v>
          </cell>
          <cell r="BW16">
            <v>378057</v>
          </cell>
          <cell r="BX16">
            <v>349636</v>
          </cell>
          <cell r="BY16">
            <v>349954</v>
          </cell>
          <cell r="BZ16">
            <v>346921</v>
          </cell>
          <cell r="CA16">
            <v>181507</v>
          </cell>
        </row>
        <row r="17">
          <cell r="A17">
            <v>2230</v>
          </cell>
          <cell r="B17" t="str">
            <v>Kooperace - služby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</row>
        <row r="18">
          <cell r="A18">
            <v>9120</v>
          </cell>
          <cell r="B18" t="str">
            <v>Variabilní náklady - služby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1700388</v>
          </cell>
          <cell r="J18">
            <v>2078445</v>
          </cell>
          <cell r="K18">
            <v>2428081</v>
          </cell>
          <cell r="L18">
            <v>2778035</v>
          </cell>
          <cell r="M18">
            <v>3124956</v>
          </cell>
          <cell r="N18">
            <v>3306463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1700388</v>
          </cell>
          <cell r="W18">
            <v>378057</v>
          </cell>
          <cell r="X18">
            <v>349636</v>
          </cell>
          <cell r="Y18">
            <v>349954</v>
          </cell>
          <cell r="Z18">
            <v>346921</v>
          </cell>
          <cell r="AA18">
            <v>181507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1700388</v>
          </cell>
          <cell r="BJ18">
            <v>2078445</v>
          </cell>
          <cell r="BK18">
            <v>2428081</v>
          </cell>
          <cell r="BL18">
            <v>2778035</v>
          </cell>
          <cell r="BM18">
            <v>3124956</v>
          </cell>
          <cell r="BN18">
            <v>3306463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1700388</v>
          </cell>
          <cell r="BW18">
            <v>378057</v>
          </cell>
          <cell r="BX18">
            <v>349636</v>
          </cell>
          <cell r="BY18">
            <v>349954</v>
          </cell>
          <cell r="BZ18">
            <v>346921</v>
          </cell>
          <cell r="CA18">
            <v>181507</v>
          </cell>
        </row>
        <row r="19">
          <cell r="A19">
            <v>2300</v>
          </cell>
          <cell r="B19" t="str">
            <v>Náklady prodeje - zboží</v>
          </cell>
          <cell r="C19">
            <v>8835506.1199999992</v>
          </cell>
          <cell r="D19">
            <v>9025162.9699999988</v>
          </cell>
          <cell r="E19">
            <v>10655109.169999998</v>
          </cell>
          <cell r="F19">
            <v>11871038.009999998</v>
          </cell>
          <cell r="G19">
            <v>14616750.729999999</v>
          </cell>
          <cell r="H19">
            <v>9188894.9899999984</v>
          </cell>
          <cell r="I19">
            <v>9986377.6699999981</v>
          </cell>
          <cell r="J19">
            <v>12341723.479999997</v>
          </cell>
          <cell r="K19">
            <v>13272491.909999996</v>
          </cell>
          <cell r="L19">
            <v>14471396.869999997</v>
          </cell>
          <cell r="M19">
            <v>14960560.699999997</v>
          </cell>
          <cell r="N19">
            <v>15421594.309999997</v>
          </cell>
          <cell r="O19">
            <v>0</v>
          </cell>
          <cell r="P19">
            <v>8835506.1199999992</v>
          </cell>
          <cell r="Q19">
            <v>189656.84999999963</v>
          </cell>
          <cell r="R19">
            <v>1629946.1999999993</v>
          </cell>
          <cell r="S19">
            <v>1215928.8399999999</v>
          </cell>
          <cell r="T19">
            <v>2745712.7200000007</v>
          </cell>
          <cell r="U19">
            <v>-5427855.7400000002</v>
          </cell>
          <cell r="V19">
            <v>797482.6799999997</v>
          </cell>
          <cell r="W19">
            <v>2355345.8099999987</v>
          </cell>
          <cell r="X19">
            <v>930768.4299999997</v>
          </cell>
          <cell r="Y19">
            <v>1198904.9600000009</v>
          </cell>
          <cell r="Z19">
            <v>489163.83000000007</v>
          </cell>
          <cell r="AA19">
            <v>461033.6099999994</v>
          </cell>
          <cell r="AC19">
            <v>11227174.189999999</v>
          </cell>
          <cell r="AD19">
            <v>11613730.529999999</v>
          </cell>
          <cell r="AE19">
            <v>12448922.039999999</v>
          </cell>
          <cell r="AF19">
            <v>13941089.42</v>
          </cell>
          <cell r="AG19">
            <v>15382382.560000001</v>
          </cell>
          <cell r="AH19">
            <v>16409240.43</v>
          </cell>
          <cell r="AI19">
            <v>17751016.98</v>
          </cell>
          <cell r="AJ19">
            <v>19149281.510000002</v>
          </cell>
          <cell r="AK19">
            <v>21038329.550000001</v>
          </cell>
          <cell r="AL19">
            <v>21844290.539999999</v>
          </cell>
          <cell r="AM19">
            <v>22370711.239999998</v>
          </cell>
          <cell r="AN19">
            <v>14946520.629999999</v>
          </cell>
          <cell r="AO19">
            <v>0</v>
          </cell>
          <cell r="AP19">
            <v>11227174.189999999</v>
          </cell>
          <cell r="AQ19">
            <v>386556.33999999985</v>
          </cell>
          <cell r="AR19">
            <v>835191.50999999978</v>
          </cell>
          <cell r="AS19">
            <v>1492167.3800000008</v>
          </cell>
          <cell r="AT19">
            <v>1441293.1400000006</v>
          </cell>
          <cell r="AU19">
            <v>1026857.8699999992</v>
          </cell>
          <cell r="AV19">
            <v>1341776.5500000007</v>
          </cell>
          <cell r="AW19">
            <v>1398264.5300000012</v>
          </cell>
          <cell r="AX19">
            <v>1889048.0399999991</v>
          </cell>
          <cell r="AY19">
            <v>805960.98999999836</v>
          </cell>
          <cell r="AZ19">
            <v>526420.69999999925</v>
          </cell>
          <cell r="BA19">
            <v>-7424190.6099999994</v>
          </cell>
          <cell r="BC19">
            <v>8835506.1199999992</v>
          </cell>
          <cell r="BD19">
            <v>9025162.9699999988</v>
          </cell>
          <cell r="BE19">
            <v>10655109.169999998</v>
          </cell>
          <cell r="BF19">
            <v>11871038.009999998</v>
          </cell>
          <cell r="BG19">
            <v>14616750.729999999</v>
          </cell>
          <cell r="BH19">
            <v>9188894.9899999984</v>
          </cell>
          <cell r="BI19">
            <v>9986377.6699999981</v>
          </cell>
          <cell r="BJ19">
            <v>12341723.479999997</v>
          </cell>
          <cell r="BK19">
            <v>13272491.909999996</v>
          </cell>
          <cell r="BL19">
            <v>14471396.869999997</v>
          </cell>
          <cell r="BM19">
            <v>14960560.699999997</v>
          </cell>
          <cell r="BN19">
            <v>15421594.309999997</v>
          </cell>
          <cell r="BO19">
            <v>0</v>
          </cell>
          <cell r="BP19">
            <v>8835506.1199999992</v>
          </cell>
          <cell r="BQ19">
            <v>189656.84999999963</v>
          </cell>
          <cell r="BR19">
            <v>1629946.1999999993</v>
          </cell>
          <cell r="BS19">
            <v>1215928.8399999999</v>
          </cell>
          <cell r="BT19">
            <v>2745712.7200000007</v>
          </cell>
          <cell r="BU19">
            <v>-5427855.7400000002</v>
          </cell>
          <cell r="BV19">
            <v>797482.6799999997</v>
          </cell>
          <cell r="BW19">
            <v>2355345.8099999987</v>
          </cell>
          <cell r="BX19">
            <v>930768.4299999997</v>
          </cell>
          <cell r="BY19">
            <v>1198904.9600000009</v>
          </cell>
          <cell r="BZ19">
            <v>489163.83000000007</v>
          </cell>
          <cell r="CA19">
            <v>461033.6099999994</v>
          </cell>
        </row>
        <row r="20">
          <cell r="A20">
            <v>2400</v>
          </cell>
          <cell r="B20" t="str">
            <v>Náklady prodeje - řezivo</v>
          </cell>
          <cell r="C20">
            <v>4825270.8599999994</v>
          </cell>
          <cell r="D20">
            <v>5053825.9999999991</v>
          </cell>
          <cell r="E20">
            <v>5862759.959999999</v>
          </cell>
          <cell r="F20">
            <v>6381527.8999999994</v>
          </cell>
          <cell r="G20">
            <v>6969332.75</v>
          </cell>
          <cell r="H20">
            <v>1742623.3499999996</v>
          </cell>
          <cell r="I20">
            <v>2185013.6699999995</v>
          </cell>
          <cell r="J20">
            <v>2879407.0799999996</v>
          </cell>
          <cell r="K20">
            <v>3251949.55</v>
          </cell>
          <cell r="L20">
            <v>3583895.44</v>
          </cell>
          <cell r="M20">
            <v>4269135.05</v>
          </cell>
          <cell r="N20">
            <v>4319397.18</v>
          </cell>
          <cell r="O20">
            <v>0</v>
          </cell>
          <cell r="P20">
            <v>4825270.8599999994</v>
          </cell>
          <cell r="Q20">
            <v>228555.13999999966</v>
          </cell>
          <cell r="R20">
            <v>808933.96</v>
          </cell>
          <cell r="S20">
            <v>518767.94000000041</v>
          </cell>
          <cell r="T20">
            <v>587804.85000000056</v>
          </cell>
          <cell r="U20">
            <v>-5226709.4000000004</v>
          </cell>
          <cell r="V20">
            <v>442390.31999999983</v>
          </cell>
          <cell r="W20">
            <v>694393.41000000015</v>
          </cell>
          <cell r="X20">
            <v>372542.4700000002</v>
          </cell>
          <cell r="Y20">
            <v>331945.89000000013</v>
          </cell>
          <cell r="Z20">
            <v>685239.60999999987</v>
          </cell>
          <cell r="AA20">
            <v>50262.129999999888</v>
          </cell>
          <cell r="AC20">
            <v>4662547.0599999996</v>
          </cell>
          <cell r="AD20">
            <v>4926316.22</v>
          </cell>
          <cell r="AE20">
            <v>5254538.21</v>
          </cell>
          <cell r="AF20">
            <v>5613221.8300000001</v>
          </cell>
          <cell r="AG20">
            <v>5882200.3200000003</v>
          </cell>
          <cell r="AH20">
            <v>6087421.1699999999</v>
          </cell>
          <cell r="AI20">
            <v>6107054.3700000001</v>
          </cell>
          <cell r="AJ20">
            <v>6418205.0600000005</v>
          </cell>
          <cell r="AK20">
            <v>6505691.6100000003</v>
          </cell>
          <cell r="AL20">
            <v>6938999.9199999999</v>
          </cell>
          <cell r="AM20">
            <v>7332070.6899999995</v>
          </cell>
          <cell r="AN20">
            <v>2939119.54</v>
          </cell>
          <cell r="AO20">
            <v>0</v>
          </cell>
          <cell r="AP20">
            <v>4662547.0599999996</v>
          </cell>
          <cell r="AQ20">
            <v>263769.16000000015</v>
          </cell>
          <cell r="AR20">
            <v>328221.99000000022</v>
          </cell>
          <cell r="AS20">
            <v>358683.62000000011</v>
          </cell>
          <cell r="AT20">
            <v>268978.49000000022</v>
          </cell>
          <cell r="AU20">
            <v>205220.84999999963</v>
          </cell>
          <cell r="AV20">
            <v>19633.200000000186</v>
          </cell>
          <cell r="AW20">
            <v>311150.69000000041</v>
          </cell>
          <cell r="AX20">
            <v>87486.549999999814</v>
          </cell>
          <cell r="AY20">
            <v>433308.30999999959</v>
          </cell>
          <cell r="AZ20">
            <v>393070.76999999955</v>
          </cell>
          <cell r="BA20">
            <v>-4392951.1499999994</v>
          </cell>
          <cell r="BC20">
            <v>4825270.8599999994</v>
          </cell>
          <cell r="BD20">
            <v>5053825.9999999991</v>
          </cell>
          <cell r="BE20">
            <v>5862759.959999999</v>
          </cell>
          <cell r="BF20">
            <v>6381527.8999999994</v>
          </cell>
          <cell r="BG20">
            <v>6969332.75</v>
          </cell>
          <cell r="BH20">
            <v>1742623.3499999996</v>
          </cell>
          <cell r="BI20">
            <v>2185013.6699999995</v>
          </cell>
          <cell r="BJ20">
            <v>2879407.0799999996</v>
          </cell>
          <cell r="BK20">
            <v>3251949.55</v>
          </cell>
          <cell r="BL20">
            <v>3583895.44</v>
          </cell>
          <cell r="BM20">
            <v>4269135.05</v>
          </cell>
          <cell r="BN20">
            <v>4319397.18</v>
          </cell>
          <cell r="BO20">
            <v>0</v>
          </cell>
          <cell r="BP20">
            <v>4825270.8599999994</v>
          </cell>
          <cell r="BQ20">
            <v>228555.13999999966</v>
          </cell>
          <cell r="BR20">
            <v>808933.96</v>
          </cell>
          <cell r="BS20">
            <v>518767.94000000041</v>
          </cell>
          <cell r="BT20">
            <v>587804.85000000056</v>
          </cell>
          <cell r="BU20">
            <v>-5226709.4000000004</v>
          </cell>
          <cell r="BV20">
            <v>442390.31999999983</v>
          </cell>
          <cell r="BW20">
            <v>694393.41000000015</v>
          </cell>
          <cell r="BX20">
            <v>372542.4700000002</v>
          </cell>
          <cell r="BY20">
            <v>331945.89000000013</v>
          </cell>
          <cell r="BZ20">
            <v>685239.60999999987</v>
          </cell>
          <cell r="CA20">
            <v>50262.129999999888</v>
          </cell>
        </row>
        <row r="21">
          <cell r="A21">
            <v>9100</v>
          </cell>
          <cell r="B21" t="str">
            <v>Variabilní náklady</v>
          </cell>
          <cell r="C21">
            <v>21986711.27</v>
          </cell>
          <cell r="D21">
            <v>24616231</v>
          </cell>
          <cell r="E21">
            <v>29698428.530000001</v>
          </cell>
          <cell r="F21">
            <v>34651031.799999997</v>
          </cell>
          <cell r="G21">
            <v>40657362.630000003</v>
          </cell>
          <cell r="H21">
            <v>23392810.579999998</v>
          </cell>
          <cell r="I21">
            <v>21504063.199999999</v>
          </cell>
          <cell r="J21">
            <v>26649481.049999997</v>
          </cell>
          <cell r="K21">
            <v>29041077.859999999</v>
          </cell>
          <cell r="L21">
            <v>32030146.879999999</v>
          </cell>
          <cell r="M21">
            <v>34162795.669999994</v>
          </cell>
          <cell r="N21">
            <v>37361048.170000002</v>
          </cell>
          <cell r="O21">
            <v>0</v>
          </cell>
          <cell r="P21">
            <v>21986711.27</v>
          </cell>
          <cell r="Q21">
            <v>2629519.7299999995</v>
          </cell>
          <cell r="R21">
            <v>5082197.5299999993</v>
          </cell>
          <cell r="S21">
            <v>4952603.2700000014</v>
          </cell>
          <cell r="T21">
            <v>6006330.8300000019</v>
          </cell>
          <cell r="U21">
            <v>-17264552.050000001</v>
          </cell>
          <cell r="V21">
            <v>-1888747.3800000013</v>
          </cell>
          <cell r="W21">
            <v>5145417.8499999987</v>
          </cell>
          <cell r="X21">
            <v>2391596.8100000005</v>
          </cell>
          <cell r="Y21">
            <v>2989069.0200000009</v>
          </cell>
          <cell r="Z21">
            <v>2132648.79</v>
          </cell>
          <cell r="AA21">
            <v>3198252.4999999991</v>
          </cell>
          <cell r="AC21">
            <v>21147400.59</v>
          </cell>
          <cell r="AD21">
            <v>23493586.469999999</v>
          </cell>
          <cell r="AE21">
            <v>26751154.509999998</v>
          </cell>
          <cell r="AF21">
            <v>30197127.93</v>
          </cell>
          <cell r="AG21">
            <v>33985607.109999999</v>
          </cell>
          <cell r="AH21">
            <v>37536571.310000002</v>
          </cell>
          <cell r="AI21">
            <v>40841854.740000002</v>
          </cell>
          <cell r="AJ21">
            <v>45448279.640000001</v>
          </cell>
          <cell r="AK21">
            <v>50199473.409999996</v>
          </cell>
          <cell r="AL21">
            <v>54434728.620000005</v>
          </cell>
          <cell r="AM21">
            <v>57417278.369999997</v>
          </cell>
          <cell r="AN21">
            <v>42329895.489999995</v>
          </cell>
          <cell r="AO21">
            <v>0</v>
          </cell>
          <cell r="AP21">
            <v>21147400.59</v>
          </cell>
          <cell r="AQ21">
            <v>2346185.88</v>
          </cell>
          <cell r="AR21">
            <v>3257568.04</v>
          </cell>
          <cell r="AS21">
            <v>3445973.4200000013</v>
          </cell>
          <cell r="AT21">
            <v>3788479.1800000006</v>
          </cell>
          <cell r="AU21">
            <v>3550964.1999999983</v>
          </cell>
          <cell r="AV21">
            <v>3305283.4300000006</v>
          </cell>
          <cell r="AW21">
            <v>4606424.9000000013</v>
          </cell>
          <cell r="AX21">
            <v>4751193.7699999996</v>
          </cell>
          <cell r="AY21">
            <v>4235255.2099999981</v>
          </cell>
          <cell r="AZ21">
            <v>2982549.7499999981</v>
          </cell>
          <cell r="BA21">
            <v>-15087382.879999999</v>
          </cell>
          <cell r="BC21">
            <v>21986711.27</v>
          </cell>
          <cell r="BD21">
            <v>24616231</v>
          </cell>
          <cell r="BE21">
            <v>29698428.530000001</v>
          </cell>
          <cell r="BF21">
            <v>34651031.799999997</v>
          </cell>
          <cell r="BG21">
            <v>40657362.630000003</v>
          </cell>
          <cell r="BH21">
            <v>23392810.579999998</v>
          </cell>
          <cell r="BI21">
            <v>21504063.199999999</v>
          </cell>
          <cell r="BJ21">
            <v>26649481.049999997</v>
          </cell>
          <cell r="BK21">
            <v>29041077.859999999</v>
          </cell>
          <cell r="BL21">
            <v>32030146.879999999</v>
          </cell>
          <cell r="BM21">
            <v>34162795.669999994</v>
          </cell>
          <cell r="BN21">
            <v>37361048.170000002</v>
          </cell>
          <cell r="BO21">
            <v>0</v>
          </cell>
          <cell r="BP21">
            <v>21986711.27</v>
          </cell>
          <cell r="BQ21">
            <v>2629519.7299999995</v>
          </cell>
          <cell r="BR21">
            <v>5082197.5299999993</v>
          </cell>
          <cell r="BS21">
            <v>4952603.2700000014</v>
          </cell>
          <cell r="BT21">
            <v>6006330.8300000019</v>
          </cell>
          <cell r="BU21">
            <v>-17264552.050000001</v>
          </cell>
          <cell r="BV21">
            <v>-1888747.3800000013</v>
          </cell>
          <cell r="BW21">
            <v>5145417.8499999987</v>
          </cell>
          <cell r="BX21">
            <v>2391596.8100000005</v>
          </cell>
          <cell r="BY21">
            <v>2989069.0200000009</v>
          </cell>
          <cell r="BZ21">
            <v>2132648.79</v>
          </cell>
          <cell r="CA21">
            <v>3198252.4999999991</v>
          </cell>
        </row>
        <row r="22">
          <cell r="A22">
            <v>9210</v>
          </cell>
          <cell r="B22" t="str">
            <v>Hrubý zisk - výroba</v>
          </cell>
          <cell r="C22">
            <v>-7765926.1299999999</v>
          </cell>
          <cell r="D22">
            <v>-8722698.1100000013</v>
          </cell>
          <cell r="E22">
            <v>-8648683.2899999991</v>
          </cell>
          <cell r="F22">
            <v>-5204606.2600000035</v>
          </cell>
          <cell r="G22">
            <v>-5208943.2400000021</v>
          </cell>
          <cell r="H22">
            <v>4895913.93</v>
          </cell>
          <cell r="I22">
            <v>11681614.399999995</v>
          </cell>
          <cell r="J22">
            <v>13650476.619999997</v>
          </cell>
          <cell r="K22">
            <v>14729245.48</v>
          </cell>
          <cell r="L22">
            <v>16184622.230000002</v>
          </cell>
          <cell r="M22">
            <v>17196576.480000004</v>
          </cell>
          <cell r="N22">
            <v>16084954.110000003</v>
          </cell>
          <cell r="O22">
            <v>0</v>
          </cell>
          <cell r="P22">
            <v>-7765926.1299999999</v>
          </cell>
          <cell r="Q22">
            <v>-956771.98</v>
          </cell>
          <cell r="R22">
            <v>74014.820000000298</v>
          </cell>
          <cell r="S22">
            <v>3444077.0299999975</v>
          </cell>
          <cell r="T22">
            <v>-4336.9799999995157</v>
          </cell>
          <cell r="U22">
            <v>10104857.170000002</v>
          </cell>
          <cell r="V22">
            <v>6785700.4699999969</v>
          </cell>
          <cell r="W22">
            <v>1968862.2200000016</v>
          </cell>
          <cell r="X22">
            <v>1078768.8600000029</v>
          </cell>
          <cell r="Y22">
            <v>1455376.7500000021</v>
          </cell>
          <cell r="Z22">
            <v>1011954.2500000014</v>
          </cell>
          <cell r="AA22">
            <v>-1111622.3699999992</v>
          </cell>
          <cell r="AC22">
            <v>-4672245.97</v>
          </cell>
          <cell r="AD22">
            <v>-4100606.1999999997</v>
          </cell>
          <cell r="AE22">
            <v>-2964256.8099999996</v>
          </cell>
          <cell r="AF22">
            <v>-1820859.2899999991</v>
          </cell>
          <cell r="AG22">
            <v>-647105.45999999903</v>
          </cell>
          <cell r="AH22">
            <v>-376266.81999999844</v>
          </cell>
          <cell r="AI22">
            <v>-695966.00999999978</v>
          </cell>
          <cell r="AJ22">
            <v>-649629.37000000104</v>
          </cell>
          <cell r="AK22">
            <v>-608230.98000000045</v>
          </cell>
          <cell r="AL22">
            <v>413208.27999999747</v>
          </cell>
          <cell r="AM22">
            <v>1385378.0599999987</v>
          </cell>
          <cell r="AN22">
            <v>7343874.7800000012</v>
          </cell>
          <cell r="AO22">
            <v>0</v>
          </cell>
          <cell r="AP22">
            <v>-4672245.97</v>
          </cell>
          <cell r="AQ22">
            <v>571639.77</v>
          </cell>
          <cell r="AR22">
            <v>1136349.3900000001</v>
          </cell>
          <cell r="AS22">
            <v>1143397.52</v>
          </cell>
          <cell r="AT22">
            <v>1173753.8299999991</v>
          </cell>
          <cell r="AU22">
            <v>270838.64000000153</v>
          </cell>
          <cell r="AV22">
            <v>-319699.18999999948</v>
          </cell>
          <cell r="AW22">
            <v>46336.639999998733</v>
          </cell>
          <cell r="AX22">
            <v>41398.389999999665</v>
          </cell>
          <cell r="AY22">
            <v>1021439.2599999979</v>
          </cell>
          <cell r="AZ22">
            <v>972169.78000000305</v>
          </cell>
          <cell r="BA22">
            <v>5958496.7199999969</v>
          </cell>
          <cell r="BC22">
            <v>-7765926.1299999999</v>
          </cell>
          <cell r="BD22">
            <v>-8722698.1100000013</v>
          </cell>
          <cell r="BE22">
            <v>-8648683.2899999991</v>
          </cell>
          <cell r="BF22">
            <v>-5204606.2600000035</v>
          </cell>
          <cell r="BG22">
            <v>-5208943.2400000021</v>
          </cell>
          <cell r="BH22">
            <v>4895913.93</v>
          </cell>
          <cell r="BI22">
            <v>11681614.399999995</v>
          </cell>
          <cell r="BJ22">
            <v>13650476.619999997</v>
          </cell>
          <cell r="BK22">
            <v>14729245.48</v>
          </cell>
          <cell r="BL22">
            <v>16184622.230000002</v>
          </cell>
          <cell r="BM22">
            <v>17196576.480000004</v>
          </cell>
          <cell r="BN22">
            <v>16084954.110000003</v>
          </cell>
          <cell r="BO22">
            <v>0</v>
          </cell>
          <cell r="BP22">
            <v>-7765926.1299999999</v>
          </cell>
          <cell r="BQ22">
            <v>-956771.98</v>
          </cell>
          <cell r="BR22">
            <v>74014.820000000298</v>
          </cell>
          <cell r="BS22">
            <v>3444077.0299999975</v>
          </cell>
          <cell r="BT22">
            <v>-4336.9799999995157</v>
          </cell>
          <cell r="BU22">
            <v>10104857.170000002</v>
          </cell>
          <cell r="BV22">
            <v>6785700.4699999969</v>
          </cell>
          <cell r="BW22">
            <v>1968862.2200000016</v>
          </cell>
          <cell r="BX22">
            <v>1078768.8600000029</v>
          </cell>
          <cell r="BY22">
            <v>1455376.7500000021</v>
          </cell>
          <cell r="BZ22">
            <v>1011954.2500000014</v>
          </cell>
          <cell r="CA22">
            <v>-1111622.3699999992</v>
          </cell>
        </row>
        <row r="23">
          <cell r="A23">
            <v>9220</v>
          </cell>
          <cell r="B23" t="str">
            <v>Hrubý zisk - služby</v>
          </cell>
          <cell r="C23">
            <v>1444</v>
          </cell>
          <cell r="D23">
            <v>170782.49000000002</v>
          </cell>
          <cell r="E23">
            <v>2045521.58</v>
          </cell>
          <cell r="F23">
            <v>2523711.71</v>
          </cell>
          <cell r="G23">
            <v>2985099.5300000003</v>
          </cell>
          <cell r="H23">
            <v>4291013.92</v>
          </cell>
          <cell r="I23">
            <v>2927289.2700000005</v>
          </cell>
          <cell r="J23">
            <v>4751084.3600000003</v>
          </cell>
          <cell r="K23">
            <v>6616175.2199999988</v>
          </cell>
          <cell r="L23">
            <v>7604573.5300000012</v>
          </cell>
          <cell r="M23">
            <v>7886729.1500000004</v>
          </cell>
          <cell r="N23">
            <v>8332084.0800000001</v>
          </cell>
          <cell r="O23">
            <v>0</v>
          </cell>
          <cell r="P23">
            <v>1444</v>
          </cell>
          <cell r="Q23">
            <v>169338.49000000002</v>
          </cell>
          <cell r="R23">
            <v>1874739.09</v>
          </cell>
          <cell r="S23">
            <v>478190.12999999989</v>
          </cell>
          <cell r="T23">
            <v>461387.8200000003</v>
          </cell>
          <cell r="U23">
            <v>1305914.3899999997</v>
          </cell>
          <cell r="V23">
            <v>-1363724.6499999994</v>
          </cell>
          <cell r="W23">
            <v>1823795.0899999999</v>
          </cell>
          <cell r="X23">
            <v>1865090.8599999985</v>
          </cell>
          <cell r="Y23">
            <v>988398.31000000238</v>
          </cell>
          <cell r="Z23">
            <v>282155.61999999918</v>
          </cell>
          <cell r="AA23">
            <v>445354.9299999997</v>
          </cell>
          <cell r="AC23">
            <v>298629.10000000003</v>
          </cell>
          <cell r="AD23">
            <v>410936.39</v>
          </cell>
          <cell r="AE23">
            <v>1438634.37</v>
          </cell>
          <cell r="AF23">
            <v>2647904.6999999997</v>
          </cell>
          <cell r="AG23">
            <v>3913824.79</v>
          </cell>
          <cell r="AH23">
            <v>4694857.2499999991</v>
          </cell>
          <cell r="AI23">
            <v>6062682.4499999993</v>
          </cell>
          <cell r="AJ23">
            <v>8337760.2399999993</v>
          </cell>
          <cell r="AK23">
            <v>9702809.9799999986</v>
          </cell>
          <cell r="AL23">
            <v>10965858.560000001</v>
          </cell>
          <cell r="AM23">
            <v>12527147.250000002</v>
          </cell>
          <cell r="AN23">
            <v>13585442.789999999</v>
          </cell>
          <cell r="AO23">
            <v>0</v>
          </cell>
          <cell r="AP23">
            <v>298629.10000000003</v>
          </cell>
          <cell r="AQ23">
            <v>112307.28999999998</v>
          </cell>
          <cell r="AR23">
            <v>1027697.9800000001</v>
          </cell>
          <cell r="AS23">
            <v>1209270.3299999996</v>
          </cell>
          <cell r="AT23">
            <v>1265920.0900000003</v>
          </cell>
          <cell r="AU23">
            <v>781032.45999999903</v>
          </cell>
          <cell r="AV23">
            <v>1367825.2000000002</v>
          </cell>
          <cell r="AW23">
            <v>2275077.79</v>
          </cell>
          <cell r="AX23">
            <v>1365049.7399999993</v>
          </cell>
          <cell r="AY23">
            <v>1263048.5800000019</v>
          </cell>
          <cell r="AZ23">
            <v>1561288.6900000013</v>
          </cell>
          <cell r="BA23">
            <v>1058295.5399999972</v>
          </cell>
          <cell r="BC23">
            <v>1444</v>
          </cell>
          <cell r="BD23">
            <v>170782.49000000002</v>
          </cell>
          <cell r="BE23">
            <v>2045521.58</v>
          </cell>
          <cell r="BF23">
            <v>2523711.71</v>
          </cell>
          <cell r="BG23">
            <v>2985099.5300000003</v>
          </cell>
          <cell r="BH23">
            <v>4291013.92</v>
          </cell>
          <cell r="BI23">
            <v>2927289.2700000005</v>
          </cell>
          <cell r="BJ23">
            <v>4751084.3600000003</v>
          </cell>
          <cell r="BK23">
            <v>6616175.2199999988</v>
          </cell>
          <cell r="BL23">
            <v>7604573.5300000012</v>
          </cell>
          <cell r="BM23">
            <v>7886729.1500000004</v>
          </cell>
          <cell r="BN23">
            <v>8332084.0800000001</v>
          </cell>
          <cell r="BO23">
            <v>0</v>
          </cell>
          <cell r="BP23">
            <v>1444</v>
          </cell>
          <cell r="BQ23">
            <v>169338.49000000002</v>
          </cell>
          <cell r="BR23">
            <v>1874739.09</v>
          </cell>
          <cell r="BS23">
            <v>478190.12999999989</v>
          </cell>
          <cell r="BT23">
            <v>461387.8200000003</v>
          </cell>
          <cell r="BU23">
            <v>1305914.3899999997</v>
          </cell>
          <cell r="BV23">
            <v>-1363724.6499999994</v>
          </cell>
          <cell r="BW23">
            <v>1823795.0899999999</v>
          </cell>
          <cell r="BX23">
            <v>1865090.8599999985</v>
          </cell>
          <cell r="BY23">
            <v>988398.31000000238</v>
          </cell>
          <cell r="BZ23">
            <v>282155.61999999918</v>
          </cell>
          <cell r="CA23">
            <v>445354.9299999997</v>
          </cell>
        </row>
        <row r="24">
          <cell r="A24">
            <v>9230</v>
          </cell>
          <cell r="B24" t="str">
            <v>Hrubý zisk - zboží</v>
          </cell>
          <cell r="C24">
            <v>-8339026.1199999992</v>
          </cell>
          <cell r="D24">
            <v>-7939781.459999999</v>
          </cell>
          <cell r="E24">
            <v>-7535315.1699999981</v>
          </cell>
          <cell r="F24">
            <v>-5876980.3999999985</v>
          </cell>
          <cell r="G24">
            <v>-4751271.6500000004</v>
          </cell>
          <cell r="H24">
            <v>3630556.1500000022</v>
          </cell>
          <cell r="I24">
            <v>5720552.4000000022</v>
          </cell>
          <cell r="J24">
            <v>6542921.9600000009</v>
          </cell>
          <cell r="K24">
            <v>7935009.0500000007</v>
          </cell>
          <cell r="L24">
            <v>8737698.1699999981</v>
          </cell>
          <cell r="M24">
            <v>9228466.9699999969</v>
          </cell>
          <cell r="N24">
            <v>9206252.3100000005</v>
          </cell>
          <cell r="O24">
            <v>0</v>
          </cell>
          <cell r="P24">
            <v>-8339026.1199999992</v>
          </cell>
          <cell r="Q24">
            <v>399244.66000000038</v>
          </cell>
          <cell r="R24">
            <v>404466.29000000074</v>
          </cell>
          <cell r="S24">
            <v>1658334.7699999996</v>
          </cell>
          <cell r="T24">
            <v>1125708.7499999981</v>
          </cell>
          <cell r="U24">
            <v>8381827.8000000026</v>
          </cell>
          <cell r="V24">
            <v>2089996.25</v>
          </cell>
          <cell r="W24">
            <v>822369.55999999866</v>
          </cell>
          <cell r="X24">
            <v>1392087.0899999999</v>
          </cell>
          <cell r="Y24">
            <v>802689.11999999732</v>
          </cell>
          <cell r="Z24">
            <v>490768.79999999888</v>
          </cell>
          <cell r="AA24">
            <v>-22214.659999996424</v>
          </cell>
          <cell r="AC24">
            <v>-11090647.289999999</v>
          </cell>
          <cell r="AD24">
            <v>-9855979.1899999995</v>
          </cell>
          <cell r="AE24">
            <v>-7996015.3099999987</v>
          </cell>
          <cell r="AF24">
            <v>-6275189.9500000002</v>
          </cell>
          <cell r="AG24">
            <v>-4608141.4399999995</v>
          </cell>
          <cell r="AH24">
            <v>-2753273.1199999992</v>
          </cell>
          <cell r="AI24">
            <v>-2008935.4499999993</v>
          </cell>
          <cell r="AJ24">
            <v>-626206.69000000134</v>
          </cell>
          <cell r="AK24">
            <v>-875615.38000000268</v>
          </cell>
          <cell r="AL24">
            <v>858716.1099999994</v>
          </cell>
          <cell r="AM24">
            <v>1502965.75</v>
          </cell>
          <cell r="AN24">
            <v>9371754.4400000013</v>
          </cell>
          <cell r="AO24">
            <v>0</v>
          </cell>
          <cell r="AP24">
            <v>-11090647.289999999</v>
          </cell>
          <cell r="AQ24">
            <v>1234668.1000000003</v>
          </cell>
          <cell r="AR24">
            <v>1859963.8800000008</v>
          </cell>
          <cell r="AS24">
            <v>1720825.3599999985</v>
          </cell>
          <cell r="AT24">
            <v>1667048.5100000007</v>
          </cell>
          <cell r="AU24">
            <v>1854868.3200000003</v>
          </cell>
          <cell r="AV24">
            <v>744337.66999999993</v>
          </cell>
          <cell r="AW24">
            <v>1382728.7599999979</v>
          </cell>
          <cell r="AX24">
            <v>-249408.69000000134</v>
          </cell>
          <cell r="AY24">
            <v>1734331.4900000021</v>
          </cell>
          <cell r="AZ24">
            <v>644249.6400000006</v>
          </cell>
          <cell r="BA24">
            <v>7868788.6900000013</v>
          </cell>
          <cell r="BC24">
            <v>-8339026.1199999992</v>
          </cell>
          <cell r="BD24">
            <v>-7939781.459999999</v>
          </cell>
          <cell r="BE24">
            <v>-7535315.1699999981</v>
          </cell>
          <cell r="BF24">
            <v>-5876980.3999999985</v>
          </cell>
          <cell r="BG24">
            <v>-4751271.6500000004</v>
          </cell>
          <cell r="BH24">
            <v>3630556.1500000022</v>
          </cell>
          <cell r="BI24">
            <v>5720552.4000000022</v>
          </cell>
          <cell r="BJ24">
            <v>6542921.9600000009</v>
          </cell>
          <cell r="BK24">
            <v>7935009.0500000007</v>
          </cell>
          <cell r="BL24">
            <v>8737698.1699999981</v>
          </cell>
          <cell r="BM24">
            <v>9228466.9699999969</v>
          </cell>
          <cell r="BN24">
            <v>9206252.3100000005</v>
          </cell>
          <cell r="BO24">
            <v>0</v>
          </cell>
          <cell r="BP24">
            <v>-8339026.1199999992</v>
          </cell>
          <cell r="BQ24">
            <v>399244.66000000038</v>
          </cell>
          <cell r="BR24">
            <v>404466.29000000074</v>
          </cell>
          <cell r="BS24">
            <v>1658334.7699999996</v>
          </cell>
          <cell r="BT24">
            <v>1125708.7499999981</v>
          </cell>
          <cell r="BU24">
            <v>8381827.8000000026</v>
          </cell>
          <cell r="BV24">
            <v>2089996.25</v>
          </cell>
          <cell r="BW24">
            <v>822369.55999999866</v>
          </cell>
          <cell r="BX24">
            <v>1392087.0899999999</v>
          </cell>
          <cell r="BY24">
            <v>802689.11999999732</v>
          </cell>
          <cell r="BZ24">
            <v>490768.79999999888</v>
          </cell>
          <cell r="CA24">
            <v>-22214.659999996424</v>
          </cell>
        </row>
        <row r="25">
          <cell r="A25">
            <v>9240</v>
          </cell>
          <cell r="B25" t="str">
            <v>Hrubý zisk - řezivo</v>
          </cell>
          <cell r="C25">
            <v>-4662063.8199999994</v>
          </cell>
          <cell r="D25">
            <v>-4767253.8099999987</v>
          </cell>
          <cell r="E25">
            <v>-5214056.0399999991</v>
          </cell>
          <cell r="F25">
            <v>-5302054.629999999</v>
          </cell>
          <cell r="G25">
            <v>-5352787.41</v>
          </cell>
          <cell r="H25">
            <v>291367.84000000032</v>
          </cell>
          <cell r="I25">
            <v>475970.3600000008</v>
          </cell>
          <cell r="J25">
            <v>450435.5400000005</v>
          </cell>
          <cell r="K25">
            <v>711330.8900000006</v>
          </cell>
          <cell r="L25">
            <v>822861.1100000008</v>
          </cell>
          <cell r="M25">
            <v>490916.49000000115</v>
          </cell>
          <cell r="N25">
            <v>842306.24000000115</v>
          </cell>
          <cell r="O25">
            <v>0</v>
          </cell>
          <cell r="P25">
            <v>-4662063.8199999994</v>
          </cell>
          <cell r="Q25">
            <v>-105189.98999999967</v>
          </cell>
          <cell r="R25">
            <v>-446802.22999999992</v>
          </cell>
          <cell r="S25">
            <v>-87998.590000000433</v>
          </cell>
          <cell r="T25">
            <v>-50732.780000000726</v>
          </cell>
          <cell r="U25">
            <v>5644155.25</v>
          </cell>
          <cell r="V25">
            <v>184602.52000000048</v>
          </cell>
          <cell r="W25">
            <v>-25534.820000000298</v>
          </cell>
          <cell r="X25">
            <v>260895.35000000009</v>
          </cell>
          <cell r="Y25">
            <v>111530.2200000002</v>
          </cell>
          <cell r="Z25">
            <v>-331944.61999999965</v>
          </cell>
          <cell r="AA25">
            <v>351389.75</v>
          </cell>
          <cell r="AC25">
            <v>-4401094.6899999995</v>
          </cell>
          <cell r="AD25">
            <v>-4463934.04</v>
          </cell>
          <cell r="AE25">
            <v>-4513080.05</v>
          </cell>
          <cell r="AF25">
            <v>-4478829.88</v>
          </cell>
          <cell r="AG25">
            <v>-4419844.1400000006</v>
          </cell>
          <cell r="AH25">
            <v>-4297618.2799999993</v>
          </cell>
          <cell r="AI25">
            <v>-4112840.13</v>
          </cell>
          <cell r="AJ25">
            <v>-4102686.4600000004</v>
          </cell>
          <cell r="AK25">
            <v>-3809260.3800000004</v>
          </cell>
          <cell r="AL25">
            <v>-3894590.13</v>
          </cell>
          <cell r="AM25">
            <v>-3981806.9699999993</v>
          </cell>
          <cell r="AN25">
            <v>691892.79</v>
          </cell>
          <cell r="AO25">
            <v>0</v>
          </cell>
          <cell r="AP25">
            <v>-4401094.6899999995</v>
          </cell>
          <cell r="AQ25">
            <v>-62839.350000000151</v>
          </cell>
          <cell r="AR25">
            <v>-49146.010000000184</v>
          </cell>
          <cell r="AS25">
            <v>34250.170000000042</v>
          </cell>
          <cell r="AT25">
            <v>58985.739999999758</v>
          </cell>
          <cell r="AU25">
            <v>122225.86000000034</v>
          </cell>
          <cell r="AV25">
            <v>184778.14999999991</v>
          </cell>
          <cell r="AW25">
            <v>10153.66999999946</v>
          </cell>
          <cell r="AX25">
            <v>293426.08000000007</v>
          </cell>
          <cell r="AY25">
            <v>-85329.749999999534</v>
          </cell>
          <cell r="AZ25">
            <v>-87216.839999999385</v>
          </cell>
          <cell r="BA25">
            <v>4673699.76</v>
          </cell>
          <cell r="BC25">
            <v>-4662063.8199999994</v>
          </cell>
          <cell r="BD25">
            <v>-4767253.8099999987</v>
          </cell>
          <cell r="BE25">
            <v>-5214056.0399999991</v>
          </cell>
          <cell r="BF25">
            <v>-5302054.629999999</v>
          </cell>
          <cell r="BG25">
            <v>-5352787.41</v>
          </cell>
          <cell r="BH25">
            <v>291367.84000000032</v>
          </cell>
          <cell r="BI25">
            <v>475970.3600000008</v>
          </cell>
          <cell r="BJ25">
            <v>450435.5400000005</v>
          </cell>
          <cell r="BK25">
            <v>711330.8900000006</v>
          </cell>
          <cell r="BL25">
            <v>822861.1100000008</v>
          </cell>
          <cell r="BM25">
            <v>490916.49000000115</v>
          </cell>
          <cell r="BN25">
            <v>842306.24000000115</v>
          </cell>
          <cell r="BO25">
            <v>0</v>
          </cell>
          <cell r="BP25">
            <v>-4662063.8199999994</v>
          </cell>
          <cell r="BQ25">
            <v>-105189.98999999967</v>
          </cell>
          <cell r="BR25">
            <v>-446802.22999999992</v>
          </cell>
          <cell r="BS25">
            <v>-87998.590000000433</v>
          </cell>
          <cell r="BT25">
            <v>-50732.780000000726</v>
          </cell>
          <cell r="BU25">
            <v>5644155.25</v>
          </cell>
          <cell r="BV25">
            <v>184602.52000000048</v>
          </cell>
          <cell r="BW25">
            <v>-25534.820000000298</v>
          </cell>
          <cell r="BX25">
            <v>260895.35000000009</v>
          </cell>
          <cell r="BY25">
            <v>111530.2200000002</v>
          </cell>
          <cell r="BZ25">
            <v>-331944.61999999965</v>
          </cell>
          <cell r="CA25">
            <v>351389.75</v>
          </cell>
        </row>
        <row r="26">
          <cell r="A26">
            <v>9250</v>
          </cell>
          <cell r="B26" t="str">
            <v>Hrubý zisk - nájem</v>
          </cell>
          <cell r="C26">
            <v>53245.350000000006</v>
          </cell>
          <cell r="D26">
            <v>81165.52</v>
          </cell>
          <cell r="E26">
            <v>112077.13</v>
          </cell>
          <cell r="F26">
            <v>149187.81</v>
          </cell>
          <cell r="G26">
            <v>187229.86</v>
          </cell>
          <cell r="H26">
            <v>224340.56</v>
          </cell>
          <cell r="I26">
            <v>282348.94</v>
          </cell>
          <cell r="J26">
            <v>340357.32</v>
          </cell>
          <cell r="K26">
            <v>396790.28</v>
          </cell>
          <cell r="L26">
            <v>454581.27</v>
          </cell>
          <cell r="M26">
            <v>511449</v>
          </cell>
          <cell r="N26">
            <v>569240</v>
          </cell>
          <cell r="O26">
            <v>0</v>
          </cell>
          <cell r="P26">
            <v>53245.350000000006</v>
          </cell>
          <cell r="Q26">
            <v>27920.17</v>
          </cell>
          <cell r="R26">
            <v>30911.61</v>
          </cell>
          <cell r="S26">
            <v>37110.679999999993</v>
          </cell>
          <cell r="T26">
            <v>38042.049999999988</v>
          </cell>
          <cell r="U26">
            <v>37110.700000000012</v>
          </cell>
          <cell r="V26">
            <v>58008.380000000005</v>
          </cell>
          <cell r="W26">
            <v>58008.380000000005</v>
          </cell>
          <cell r="X26">
            <v>56432.960000000021</v>
          </cell>
          <cell r="Y26">
            <v>57790.989999999991</v>
          </cell>
          <cell r="Z26">
            <v>56867.729999999981</v>
          </cell>
          <cell r="AA26">
            <v>57791</v>
          </cell>
          <cell r="AC26">
            <v>193870.41999999998</v>
          </cell>
          <cell r="AD26">
            <v>203040.41999999998</v>
          </cell>
          <cell r="AE26">
            <v>212210.41999999998</v>
          </cell>
          <cell r="AF26">
            <v>289180.42</v>
          </cell>
          <cell r="AG26">
            <v>298350.42</v>
          </cell>
          <cell r="AH26">
            <v>307520.42</v>
          </cell>
          <cell r="AI26">
            <v>384490.42</v>
          </cell>
          <cell r="AJ26">
            <v>393660.42</v>
          </cell>
          <cell r="AK26">
            <v>402830.42</v>
          </cell>
          <cell r="AL26">
            <v>479800.42</v>
          </cell>
          <cell r="AM26">
            <v>488970.42</v>
          </cell>
          <cell r="AN26">
            <v>498140.42</v>
          </cell>
          <cell r="AO26">
            <v>0</v>
          </cell>
          <cell r="AP26">
            <v>193870.41999999998</v>
          </cell>
          <cell r="AQ26">
            <v>9170</v>
          </cell>
          <cell r="AR26">
            <v>9170</v>
          </cell>
          <cell r="AS26">
            <v>76970</v>
          </cell>
          <cell r="AT26">
            <v>9170</v>
          </cell>
          <cell r="AU26">
            <v>9170</v>
          </cell>
          <cell r="AV26">
            <v>76970</v>
          </cell>
          <cell r="AW26">
            <v>9170</v>
          </cell>
          <cell r="AX26">
            <v>9170</v>
          </cell>
          <cell r="AY26">
            <v>76970</v>
          </cell>
          <cell r="AZ26">
            <v>9170</v>
          </cell>
          <cell r="BA26">
            <v>9170</v>
          </cell>
          <cell r="BC26">
            <v>53245.350000000006</v>
          </cell>
          <cell r="BD26">
            <v>81165.52</v>
          </cell>
          <cell r="BE26">
            <v>112077.13</v>
          </cell>
          <cell r="BF26">
            <v>149187.81</v>
          </cell>
          <cell r="BG26">
            <v>187229.86</v>
          </cell>
          <cell r="BH26">
            <v>224340.56</v>
          </cell>
          <cell r="BI26">
            <v>282348.94</v>
          </cell>
          <cell r="BJ26">
            <v>340357.32</v>
          </cell>
          <cell r="BK26">
            <v>396790.28</v>
          </cell>
          <cell r="BL26">
            <v>454581.27</v>
          </cell>
          <cell r="BM26">
            <v>511449</v>
          </cell>
          <cell r="BN26">
            <v>569240</v>
          </cell>
          <cell r="BO26">
            <v>0</v>
          </cell>
          <cell r="BP26">
            <v>53245.350000000006</v>
          </cell>
          <cell r="BQ26">
            <v>27920.17</v>
          </cell>
          <cell r="BR26">
            <v>30911.61</v>
          </cell>
          <cell r="BS26">
            <v>37110.679999999993</v>
          </cell>
          <cell r="BT26">
            <v>38042.049999999988</v>
          </cell>
          <cell r="BU26">
            <v>37110.700000000012</v>
          </cell>
          <cell r="BV26">
            <v>58008.380000000005</v>
          </cell>
          <cell r="BW26">
            <v>58008.380000000005</v>
          </cell>
          <cell r="BX26">
            <v>56432.960000000021</v>
          </cell>
          <cell r="BY26">
            <v>57790.989999999991</v>
          </cell>
          <cell r="BZ26">
            <v>56867.729999999981</v>
          </cell>
          <cell r="CA26">
            <v>57791</v>
          </cell>
        </row>
        <row r="27">
          <cell r="A27">
            <v>9200</v>
          </cell>
          <cell r="B27" t="str">
            <v>Hrubý zisk</v>
          </cell>
          <cell r="C27">
            <v>-20712326.719999999</v>
          </cell>
          <cell r="D27">
            <v>-21177785.370000001</v>
          </cell>
          <cell r="E27">
            <v>-19240455.789999999</v>
          </cell>
          <cell r="F27">
            <v>-13710741.77</v>
          </cell>
          <cell r="G27">
            <v>-12140672.910000004</v>
          </cell>
          <cell r="H27">
            <v>13333192.400000006</v>
          </cell>
          <cell r="I27">
            <v>21087775.369999994</v>
          </cell>
          <cell r="J27">
            <v>25735275.799999997</v>
          </cell>
          <cell r="K27">
            <v>30388550.920000002</v>
          </cell>
          <cell r="L27">
            <v>33804336.310000002</v>
          </cell>
          <cell r="M27">
            <v>35314138.090000011</v>
          </cell>
          <cell r="N27">
            <v>35034836.739999995</v>
          </cell>
          <cell r="O27">
            <v>0</v>
          </cell>
          <cell r="P27">
            <v>-20712326.719999999</v>
          </cell>
          <cell r="Q27">
            <v>-465458.64999999944</v>
          </cell>
          <cell r="R27">
            <v>1937329.5800000019</v>
          </cell>
          <cell r="S27">
            <v>5529714.0199999958</v>
          </cell>
          <cell r="T27">
            <v>1570068.8599999985</v>
          </cell>
          <cell r="U27">
            <v>25473865.310000006</v>
          </cell>
          <cell r="V27">
            <v>7754582.9699999988</v>
          </cell>
          <cell r="W27">
            <v>4647500.4300000006</v>
          </cell>
          <cell r="X27">
            <v>4653275.120000001</v>
          </cell>
          <cell r="Y27">
            <v>3415785.390000002</v>
          </cell>
          <cell r="Z27">
            <v>1509801.7799999998</v>
          </cell>
          <cell r="AA27">
            <v>-279301.3499999959</v>
          </cell>
          <cell r="AC27">
            <v>-19671488.43</v>
          </cell>
          <cell r="AD27">
            <v>-17806542.619999997</v>
          </cell>
          <cell r="AE27">
            <v>-13822507.379999997</v>
          </cell>
          <cell r="AF27">
            <v>-9637794</v>
          </cell>
          <cell r="AG27">
            <v>-5462915.8299999982</v>
          </cell>
          <cell r="AH27">
            <v>-2424780.549999997</v>
          </cell>
          <cell r="AI27">
            <v>-370568.71999999881</v>
          </cell>
          <cell r="AJ27">
            <v>3352898.1400000006</v>
          </cell>
          <cell r="AK27">
            <v>4812533.6600000039</v>
          </cell>
          <cell r="AL27">
            <v>8822993.2399999946</v>
          </cell>
          <cell r="AM27">
            <v>11922654.509999998</v>
          </cell>
          <cell r="AN27">
            <v>31491105.220000014</v>
          </cell>
          <cell r="AO27">
            <v>0</v>
          </cell>
          <cell r="AP27">
            <v>-19671488.43</v>
          </cell>
          <cell r="AQ27">
            <v>1864945.8099999996</v>
          </cell>
          <cell r="AR27">
            <v>3984035.2400000012</v>
          </cell>
          <cell r="AS27">
            <v>4184713.3799999985</v>
          </cell>
          <cell r="AT27">
            <v>4174878.169999999</v>
          </cell>
          <cell r="AU27">
            <v>3038135.2800000012</v>
          </cell>
          <cell r="AV27">
            <v>2054211.830000001</v>
          </cell>
          <cell r="AW27">
            <v>3723466.8599999966</v>
          </cell>
          <cell r="AX27">
            <v>1459635.5199999977</v>
          </cell>
          <cell r="AY27">
            <v>4010459.5800000029</v>
          </cell>
          <cell r="AZ27">
            <v>3099661.2700000051</v>
          </cell>
          <cell r="BA27">
            <v>19568450.709999993</v>
          </cell>
          <cell r="BC27">
            <v>-20712326.719999999</v>
          </cell>
          <cell r="BD27">
            <v>-21177785.370000001</v>
          </cell>
          <cell r="BE27">
            <v>-19240455.789999999</v>
          </cell>
          <cell r="BF27">
            <v>-13710741.77</v>
          </cell>
          <cell r="BG27">
            <v>-12140672.910000004</v>
          </cell>
          <cell r="BH27">
            <v>13333192.400000006</v>
          </cell>
          <cell r="BI27">
            <v>21087775.369999994</v>
          </cell>
          <cell r="BJ27">
            <v>25735275.799999997</v>
          </cell>
          <cell r="BK27">
            <v>30388550.920000002</v>
          </cell>
          <cell r="BL27">
            <v>33804336.310000002</v>
          </cell>
          <cell r="BM27">
            <v>35314138.090000011</v>
          </cell>
          <cell r="BN27">
            <v>35034836.739999995</v>
          </cell>
          <cell r="BO27">
            <v>0</v>
          </cell>
          <cell r="BP27">
            <v>-20712326.719999999</v>
          </cell>
          <cell r="BQ27">
            <v>-465458.64999999944</v>
          </cell>
          <cell r="BR27">
            <v>1937329.5800000019</v>
          </cell>
          <cell r="BS27">
            <v>5529714.0199999958</v>
          </cell>
          <cell r="BT27">
            <v>1570068.8599999985</v>
          </cell>
          <cell r="BU27">
            <v>25473865.310000006</v>
          </cell>
          <cell r="BV27">
            <v>7754582.9699999988</v>
          </cell>
          <cell r="BW27">
            <v>4647500.4300000006</v>
          </cell>
          <cell r="BX27">
            <v>4653275.120000001</v>
          </cell>
          <cell r="BY27">
            <v>3415785.390000002</v>
          </cell>
          <cell r="BZ27">
            <v>1509801.7799999998</v>
          </cell>
          <cell r="CA27">
            <v>-279301.3499999959</v>
          </cell>
        </row>
        <row r="28">
          <cell r="A28">
            <v>9291</v>
          </cell>
          <cell r="B28" t="str">
            <v>Hrubá marže - výroba</v>
          </cell>
          <cell r="C28">
            <v>-13.86752316251963</v>
          </cell>
          <cell r="D28">
            <v>-4.8071022221385524</v>
          </cell>
          <cell r="E28">
            <v>-1.9084112363345251</v>
          </cell>
          <cell r="F28">
            <v>-0.46495189613164767</v>
          </cell>
          <cell r="G28">
            <v>-0.37576230108825881</v>
          </cell>
          <cell r="H28">
            <v>0.28206808642176767</v>
          </cell>
          <cell r="I28">
            <v>0.60482944679237405</v>
          </cell>
          <cell r="J28">
            <v>0.59348912355960848</v>
          </cell>
          <cell r="K28">
            <v>0.59349519126289318</v>
          </cell>
          <cell r="L28">
            <v>0.59107998578803833</v>
          </cell>
          <cell r="M28">
            <v>0.5928888899063478</v>
          </cell>
          <cell r="N28">
            <v>0.52913560940866244</v>
          </cell>
          <cell r="O28">
            <v>0</v>
          </cell>
          <cell r="P28">
            <v>-13.86752316251963</v>
          </cell>
          <cell r="Q28">
            <v>-0.76265022529130599</v>
          </cell>
          <cell r="R28">
            <v>2.7238046298638331E-2</v>
          </cell>
          <cell r="S28">
            <v>0.51697471476182788</v>
          </cell>
          <cell r="T28">
            <v>-1.6252645873245364E-3</v>
          </cell>
          <cell r="U28">
            <v>2.8913397117064932</v>
          </cell>
          <cell r="V28">
            <v>3.4679449590865419</v>
          </cell>
          <cell r="W28">
            <v>0.53407591084387929</v>
          </cell>
          <cell r="X28">
            <v>0.59357198121157351</v>
          </cell>
          <cell r="Y28">
            <v>0.56769914173471736</v>
          </cell>
          <cell r="Z28">
            <v>0.62340146047634737</v>
          </cell>
          <cell r="AA28">
            <v>-0.79753230419729282</v>
          </cell>
          <cell r="AB28">
            <v>0</v>
          </cell>
          <cell r="AC28">
            <v>-7.9808330194775197</v>
          </cell>
          <cell r="AD28">
            <v>-1.4373297419142104</v>
          </cell>
          <cell r="AE28">
            <v>-0.4872667524509518</v>
          </cell>
          <cell r="AF28">
            <v>-0.20640082574690366</v>
          </cell>
          <cell r="AG28">
            <v>-5.3595313363202217E-2</v>
          </cell>
          <cell r="AH28">
            <v>-2.5659846112086982E-2</v>
          </cell>
          <cell r="AI28">
            <v>-4.2729237058771574E-2</v>
          </cell>
          <cell r="AJ28">
            <v>-3.3780034330423855E-2</v>
          </cell>
          <cell r="AK28">
            <v>-2.7587648010211151E-2</v>
          </cell>
          <cell r="AL28">
            <v>1.5853208711316687E-2</v>
          </cell>
          <cell r="AM28">
            <v>4.7607698789216384E-2</v>
          </cell>
          <cell r="AN28">
            <v>0.23102569282614083</v>
          </cell>
          <cell r="AO28">
            <v>0</v>
          </cell>
          <cell r="AP28">
            <v>-7.9808330194775197</v>
          </cell>
          <cell r="AQ28">
            <v>0.25210131518624157</v>
          </cell>
          <cell r="AR28">
            <v>0.35175607726315322</v>
          </cell>
          <cell r="AS28">
            <v>0.41752389796365691</v>
          </cell>
          <cell r="AT28">
            <v>0.36093719846082534</v>
          </cell>
          <cell r="AU28">
            <v>0.10458204327957582</v>
          </cell>
          <cell r="AV28">
            <v>-0.19683795797088244</v>
          </cell>
          <cell r="AW28">
            <v>1.5742843336219694E-2</v>
          </cell>
          <cell r="AX28">
            <v>1.4700832270271967E-2</v>
          </cell>
          <cell r="AY28">
            <v>0.25425221796974962</v>
          </cell>
          <cell r="AZ28">
            <v>0.32029546405814469</v>
          </cell>
          <cell r="BA28">
            <v>2.2164918841794665</v>
          </cell>
          <cell r="BB28">
            <v>0</v>
          </cell>
          <cell r="BC28">
            <v>-13.86752316251963</v>
          </cell>
          <cell r="BD28">
            <v>-4.8071022221385524</v>
          </cell>
          <cell r="BE28">
            <v>-1.9084112363345251</v>
          </cell>
          <cell r="BF28">
            <v>-0.46495189613164767</v>
          </cell>
          <cell r="BG28">
            <v>-0.37576230108825881</v>
          </cell>
          <cell r="BH28">
            <v>0.28206808642176767</v>
          </cell>
          <cell r="BI28">
            <v>0.60482944679237405</v>
          </cell>
          <cell r="BJ28">
            <v>0.59348912355960848</v>
          </cell>
          <cell r="BK28">
            <v>0.59349519126289318</v>
          </cell>
          <cell r="BL28">
            <v>0.59107998578803833</v>
          </cell>
          <cell r="BM28">
            <v>0.5928888899063478</v>
          </cell>
          <cell r="BN28">
            <v>0.52913560940866244</v>
          </cell>
          <cell r="BO28">
            <v>0</v>
          </cell>
          <cell r="BP28">
            <v>-13.86752316251963</v>
          </cell>
          <cell r="BQ28">
            <v>-0.76265022529130599</v>
          </cell>
          <cell r="BR28">
            <v>2.7238046298638331E-2</v>
          </cell>
          <cell r="BS28">
            <v>0.51697471476182788</v>
          </cell>
          <cell r="BT28">
            <v>-1.6252645873245364E-3</v>
          </cell>
          <cell r="BU28">
            <v>2.8913397117064932</v>
          </cell>
          <cell r="BV28">
            <v>3.4679449590865419</v>
          </cell>
          <cell r="BW28">
            <v>0.53407591084387929</v>
          </cell>
          <cell r="BX28">
            <v>0.59357198121157351</v>
          </cell>
          <cell r="BY28">
            <v>0.56769914173471736</v>
          </cell>
          <cell r="BZ28">
            <v>0.62340146047634737</v>
          </cell>
          <cell r="CA28">
            <v>-0.79753230419729282</v>
          </cell>
        </row>
        <row r="29">
          <cell r="A29">
            <v>9292</v>
          </cell>
          <cell r="B29" t="str">
            <v>Hrubá marže - služby</v>
          </cell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0.63256123951789756</v>
          </cell>
          <cell r="J29">
            <v>0.69566790177764171</v>
          </cell>
          <cell r="K29">
            <v>0.73153336869972041</v>
          </cell>
          <cell r="L29">
            <v>0.73243381063891466</v>
          </cell>
          <cell r="M29">
            <v>0.71621455232035947</v>
          </cell>
          <cell r="N29">
            <v>0.71590414359521581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-4.0507071827093659</v>
          </cell>
          <cell r="W29">
            <v>0.82830045591300361</v>
          </cell>
          <cell r="X29">
            <v>0.84213132268599467</v>
          </cell>
          <cell r="Y29">
            <v>0.73851877612106531</v>
          </cell>
          <cell r="Z29">
            <v>0.44852345649087949</v>
          </cell>
          <cell r="AA29">
            <v>0.71045139078712261</v>
          </cell>
          <cell r="AB29">
            <v>0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0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0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1</v>
          </cell>
          <cell r="BH29">
            <v>1</v>
          </cell>
          <cell r="BI29">
            <v>0.63256123951789756</v>
          </cell>
          <cell r="BJ29">
            <v>0.69566790177764171</v>
          </cell>
          <cell r="BK29">
            <v>0.73153336869972041</v>
          </cell>
          <cell r="BL29">
            <v>0.73243381063891466</v>
          </cell>
          <cell r="BM29">
            <v>0.71621455232035947</v>
          </cell>
          <cell r="BN29">
            <v>0.71590414359521581</v>
          </cell>
          <cell r="BO29">
            <v>0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1</v>
          </cell>
          <cell r="BU29">
            <v>1</v>
          </cell>
          <cell r="BV29">
            <v>-4.0507071827093659</v>
          </cell>
          <cell r="BW29">
            <v>0.82830045591300361</v>
          </cell>
          <cell r="BX29">
            <v>0.84213132268599467</v>
          </cell>
          <cell r="BY29">
            <v>0.73851877612106531</v>
          </cell>
          <cell r="BZ29">
            <v>0.44852345649087949</v>
          </cell>
          <cell r="CA29">
            <v>0.71045139078712261</v>
          </cell>
        </row>
        <row r="30">
          <cell r="A30">
            <v>9293</v>
          </cell>
          <cell r="B30" t="str">
            <v>Hrubá marže - zboží</v>
          </cell>
          <cell r="C30">
            <v>-16.796298179181434</v>
          </cell>
          <cell r="D30">
            <v>-7.3151987451859197</v>
          </cell>
          <cell r="E30">
            <v>-2.415324591944211</v>
          </cell>
          <cell r="F30">
            <v>-0.98046778699546056</v>
          </cell>
          <cell r="G30">
            <v>-0.4816057701274859</v>
          </cell>
          <cell r="H30">
            <v>0.28320683236365157</v>
          </cell>
          <cell r="I30">
            <v>0.36420563245049209</v>
          </cell>
          <cell r="J30">
            <v>0.34646782121422776</v>
          </cell>
          <cell r="K30">
            <v>0.37416049467433349</v>
          </cell>
          <cell r="L30">
            <v>0.37647733162111263</v>
          </cell>
          <cell r="M30">
            <v>0.38151458983386244</v>
          </cell>
          <cell r="N30">
            <v>0.37381474929780123</v>
          </cell>
          <cell r="O30">
            <v>0</v>
          </cell>
          <cell r="P30">
            <v>-16.796298179181434</v>
          </cell>
          <cell r="Q30">
            <v>0.67794810035382724</v>
          </cell>
          <cell r="R30">
            <v>0.19881233131831624</v>
          </cell>
          <cell r="S30">
            <v>0.57695987390662473</v>
          </cell>
          <cell r="T30">
            <v>0.29077401123158997</v>
          </cell>
          <cell r="U30">
            <v>2.8374770071454218</v>
          </cell>
          <cell r="V30">
            <v>0.72381350675345024</v>
          </cell>
          <cell r="W30">
            <v>0.25879270615731687</v>
          </cell>
          <cell r="X30">
            <v>0.59929990393892429</v>
          </cell>
          <cell r="Y30">
            <v>0.40102492709210952</v>
          </cell>
          <cell r="Z30">
            <v>0.50081891854136895</v>
          </cell>
          <cell r="AA30">
            <v>-5.0623748131196869E-2</v>
          </cell>
          <cell r="AB30">
            <v>0</v>
          </cell>
          <cell r="AC30">
            <v>-81.234154514604811</v>
          </cell>
          <cell r="AD30">
            <v>-5.6071521413262007</v>
          </cell>
          <cell r="AE30">
            <v>-1.7956844359953612</v>
          </cell>
          <cell r="AF30">
            <v>-0.81858495204085957</v>
          </cell>
          <cell r="AG30">
            <v>-0.4276998619834117</v>
          </cell>
          <cell r="AH30">
            <v>-0.2016168505312568</v>
          </cell>
          <cell r="AI30">
            <v>-0.12761561717054576</v>
          </cell>
          <cell r="AJ30">
            <v>-3.380684341478038E-2</v>
          </cell>
          <cell r="AK30">
            <v>-4.3427455878079474E-2</v>
          </cell>
          <cell r="AL30">
            <v>3.7823893691190873E-2</v>
          </cell>
          <cell r="AM30">
            <v>6.2954933612846875E-2</v>
          </cell>
          <cell r="AN30">
            <v>0.38537907861571041</v>
          </cell>
          <cell r="AO30">
            <v>0</v>
          </cell>
          <cell r="AP30">
            <v>-81.234154514604811</v>
          </cell>
          <cell r="AQ30">
            <v>0.76156519081343244</v>
          </cell>
          <cell r="AR30">
            <v>0.69011378227063946</v>
          </cell>
          <cell r="AS30">
            <v>0.53558333281512449</v>
          </cell>
          <cell r="AT30">
            <v>0.53631443956619118</v>
          </cell>
          <cell r="AU30">
            <v>0.64366570510295451</v>
          </cell>
          <cell r="AV30">
            <v>0.3568058080731551</v>
          </cell>
          <cell r="AW30">
            <v>0.49720679477079871</v>
          </cell>
          <cell r="AX30">
            <v>-0.15211192022196934</v>
          </cell>
          <cell r="AY30">
            <v>0.68272905724619626</v>
          </cell>
          <cell r="AZ30">
            <v>0.55032541441171279</v>
          </cell>
          <cell r="BA30">
            <v>17.6986564809276</v>
          </cell>
          <cell r="BB30">
            <v>0</v>
          </cell>
          <cell r="BC30">
            <v>-16.796298179181434</v>
          </cell>
          <cell r="BD30">
            <v>-7.3151987451859197</v>
          </cell>
          <cell r="BE30">
            <v>-2.415324591944211</v>
          </cell>
          <cell r="BF30">
            <v>-0.98046778699546056</v>
          </cell>
          <cell r="BG30">
            <v>-0.4816057701274859</v>
          </cell>
          <cell r="BH30">
            <v>0.28320683236365157</v>
          </cell>
          <cell r="BI30">
            <v>0.36420563245049209</v>
          </cell>
          <cell r="BJ30">
            <v>0.34646782121422776</v>
          </cell>
          <cell r="BK30">
            <v>0.37416049467433349</v>
          </cell>
          <cell r="BL30">
            <v>0.37647733162111263</v>
          </cell>
          <cell r="BM30">
            <v>0.38151458983386244</v>
          </cell>
          <cell r="BN30">
            <v>0.37381474929780123</v>
          </cell>
          <cell r="BO30">
            <v>0</v>
          </cell>
          <cell r="BP30">
            <v>-16.796298179181434</v>
          </cell>
          <cell r="BQ30">
            <v>0.67794810035382724</v>
          </cell>
          <cell r="BR30">
            <v>0.19881233131831624</v>
          </cell>
          <cell r="BS30">
            <v>0.57695987390662473</v>
          </cell>
          <cell r="BT30">
            <v>0.29077401123158997</v>
          </cell>
          <cell r="BU30">
            <v>2.8374770071454218</v>
          </cell>
          <cell r="BV30">
            <v>0.72381350675345024</v>
          </cell>
          <cell r="BW30">
            <v>0.25879270615731687</v>
          </cell>
          <cell r="BX30">
            <v>0.59929990393892429</v>
          </cell>
          <cell r="BY30">
            <v>0.40102492709210952</v>
          </cell>
          <cell r="BZ30">
            <v>0.50081891854136895</v>
          </cell>
          <cell r="CA30">
            <v>-5.0623748131196869E-2</v>
          </cell>
        </row>
        <row r="31">
          <cell r="A31">
            <v>9294</v>
          </cell>
          <cell r="B31" t="str">
            <v>Hrubá marže - řezivo</v>
          </cell>
          <cell r="C31">
            <v>-28.565335294359844</v>
          </cell>
          <cell r="D31">
            <v>-16.635437688493077</v>
          </cell>
          <cell r="E31">
            <v>-8.0376515067151111</v>
          </cell>
          <cell r="F31">
            <v>-4.9117053449595831</v>
          </cell>
          <cell r="G31">
            <v>-3.3112510225045719</v>
          </cell>
          <cell r="H31">
            <v>0.14324931269736735</v>
          </cell>
          <cell r="I31">
            <v>0.17887005507507714</v>
          </cell>
          <cell r="J31">
            <v>0.13527232106843551</v>
          </cell>
          <cell r="K31">
            <v>0.17948033220682222</v>
          </cell>
          <cell r="L31">
            <v>0.18672715423773539</v>
          </cell>
          <cell r="M31">
            <v>0.10313259969449849</v>
          </cell>
          <cell r="N31">
            <v>0.16318377315835805</v>
          </cell>
          <cell r="O31">
            <v>0</v>
          </cell>
          <cell r="P31">
            <v>-28.565335294359844</v>
          </cell>
          <cell r="Q31">
            <v>-0.85267184452010703</v>
          </cell>
          <cell r="R31">
            <v>-1.2338113260608228</v>
          </cell>
          <cell r="S31">
            <v>-0.20428238452898387</v>
          </cell>
          <cell r="T31">
            <v>-9.4461773072654368E-2</v>
          </cell>
          <cell r="U31">
            <v>13.520688371916977</v>
          </cell>
          <cell r="V31">
            <v>0.29442524415430388</v>
          </cell>
          <cell r="W31">
            <v>-3.8176709369913756E-2</v>
          </cell>
          <cell r="X31">
            <v>0.41187207609422494</v>
          </cell>
          <cell r="Y31">
            <v>0.25149093149572394</v>
          </cell>
          <cell r="Z31">
            <v>-0.93956786650158675</v>
          </cell>
          <cell r="AA31">
            <v>0.87486145963016559</v>
          </cell>
          <cell r="AB31">
            <v>0</v>
          </cell>
          <cell r="AC31">
            <v>-16.833256053483087</v>
          </cell>
          <cell r="AD31">
            <v>-9.6542086461896091</v>
          </cell>
          <cell r="AE31">
            <v>-6.0867629402042045</v>
          </cell>
          <cell r="AF31">
            <v>-3.9482207891196683</v>
          </cell>
          <cell r="AG31">
            <v>-3.0224128707138913</v>
          </cell>
          <cell r="AH31">
            <v>-2.4011684772729351</v>
          </cell>
          <cell r="AI31">
            <v>-2.0623863010826757</v>
          </cell>
          <cell r="AJ31">
            <v>-1.7718218545081004</v>
          </cell>
          <cell r="AK31">
            <v>-1.4127044434209437</v>
          </cell>
          <cell r="AL31">
            <v>-1.2792594948264175</v>
          </cell>
          <cell r="AM31">
            <v>-1.1885055335285661</v>
          </cell>
          <cell r="AN31">
            <v>0.19055093376672727</v>
          </cell>
          <cell r="AO31">
            <v>0</v>
          </cell>
          <cell r="AP31">
            <v>-16.833256053483087</v>
          </cell>
          <cell r="AQ31">
            <v>-0.31274279311765713</v>
          </cell>
          <cell r="AR31">
            <v>-0.17610261549560868</v>
          </cell>
          <cell r="AS31">
            <v>8.7165244811346021E-2</v>
          </cell>
          <cell r="AT31">
            <v>0.17985418714717688</v>
          </cell>
          <cell r="AU31">
            <v>0.37326947032083585</v>
          </cell>
          <cell r="AV31">
            <v>0.90395249578851578</v>
          </cell>
          <cell r="AW31">
            <v>3.1601407463003189E-2</v>
          </cell>
          <cell r="AX31">
            <v>0.77032384040403223</v>
          </cell>
          <cell r="AY31">
            <v>-0.2452155385665126</v>
          </cell>
          <cell r="AZ31">
            <v>-0.28515847417752432</v>
          </cell>
          <cell r="BA31">
            <v>16.647276579570605</v>
          </cell>
          <cell r="BB31">
            <v>0</v>
          </cell>
          <cell r="BC31">
            <v>-28.565335294359844</v>
          </cell>
          <cell r="BD31">
            <v>-16.635437688493077</v>
          </cell>
          <cell r="BE31">
            <v>-8.0376515067151111</v>
          </cell>
          <cell r="BF31">
            <v>-4.9117053449595831</v>
          </cell>
          <cell r="BG31">
            <v>-3.3112510225045719</v>
          </cell>
          <cell r="BH31">
            <v>0.14324931269736735</v>
          </cell>
          <cell r="BI31">
            <v>0.17887005507507714</v>
          </cell>
          <cell r="BJ31">
            <v>0.13527232106843551</v>
          </cell>
          <cell r="BK31">
            <v>0.17948033220682222</v>
          </cell>
          <cell r="BL31">
            <v>0.18672715423773539</v>
          </cell>
          <cell r="BM31">
            <v>0.10313259969449849</v>
          </cell>
          <cell r="BN31">
            <v>0.16318377315835805</v>
          </cell>
          <cell r="BO31">
            <v>0</v>
          </cell>
          <cell r="BP31">
            <v>-28.565335294359844</v>
          </cell>
          <cell r="BQ31">
            <v>-0.85267184452010703</v>
          </cell>
          <cell r="BR31">
            <v>-1.2338113260608228</v>
          </cell>
          <cell r="BS31">
            <v>-0.20428238452898387</v>
          </cell>
          <cell r="BT31">
            <v>-9.4461773072654368E-2</v>
          </cell>
          <cell r="BU31">
            <v>13.520688371916977</v>
          </cell>
          <cell r="BV31">
            <v>0.29442524415430388</v>
          </cell>
          <cell r="BW31">
            <v>-3.8176709369913756E-2</v>
          </cell>
          <cell r="BX31">
            <v>0.41187207609422494</v>
          </cell>
          <cell r="BY31">
            <v>0.25149093149572394</v>
          </cell>
          <cell r="BZ31">
            <v>-0.93956786650158675</v>
          </cell>
          <cell r="CA31">
            <v>0.87486145963016559</v>
          </cell>
        </row>
        <row r="32">
          <cell r="A32">
            <v>9295</v>
          </cell>
          <cell r="B32" t="str">
            <v>Hrubá marže - nájem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0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0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A32">
            <v>1</v>
          </cell>
          <cell r="BB32">
            <v>0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1</v>
          </cell>
          <cell r="BH32">
            <v>1</v>
          </cell>
          <cell r="BI32">
            <v>1</v>
          </cell>
          <cell r="BJ32">
            <v>1</v>
          </cell>
          <cell r="BK32">
            <v>1</v>
          </cell>
          <cell r="BL32">
            <v>1</v>
          </cell>
          <cell r="BM32">
            <v>1</v>
          </cell>
          <cell r="BN32">
            <v>1</v>
          </cell>
          <cell r="BO32">
            <v>0</v>
          </cell>
          <cell r="BP32">
            <v>1</v>
          </cell>
          <cell r="BQ32">
            <v>1</v>
          </cell>
          <cell r="BR32">
            <v>1</v>
          </cell>
          <cell r="BS32">
            <v>1</v>
          </cell>
          <cell r="BT32">
            <v>1</v>
          </cell>
          <cell r="BU32">
            <v>1</v>
          </cell>
          <cell r="BV32">
            <v>1</v>
          </cell>
          <cell r="BW32">
            <v>1</v>
          </cell>
          <cell r="BX32">
            <v>1</v>
          </cell>
          <cell r="BY32">
            <v>1</v>
          </cell>
          <cell r="BZ32">
            <v>1</v>
          </cell>
          <cell r="CA32">
            <v>1</v>
          </cell>
        </row>
        <row r="33">
          <cell r="A33">
            <v>9290</v>
          </cell>
          <cell r="B33" t="str">
            <v>Hrubá marže</v>
          </cell>
          <cell r="C33">
            <v>-16.252807459098584</v>
          </cell>
          <cell r="D33">
            <v>-6.159115963686185</v>
          </cell>
          <cell r="E33">
            <v>-1.8397882905554404</v>
          </cell>
          <cell r="F33">
            <v>-0.65475414859858083</v>
          </cell>
          <cell r="G33">
            <v>-0.42573920848482005</v>
          </cell>
          <cell r="H33">
            <v>0.36304501764760255</v>
          </cell>
          <cell r="I33">
            <v>0.49511305635097397</v>
          </cell>
          <cell r="J33">
            <v>0.49127412910765472</v>
          </cell>
          <cell r="K33">
            <v>0.51133671106198686</v>
          </cell>
          <cell r="L33">
            <v>0.5134746210802601</v>
          </cell>
          <cell r="M33">
            <v>0.50828578894959009</v>
          </cell>
          <cell r="N33">
            <v>0.48393409077814387</v>
          </cell>
          <cell r="O33">
            <v>0</v>
          </cell>
          <cell r="P33">
            <v>-16.252807459098584</v>
          </cell>
          <cell r="Q33">
            <v>-0.21508572669307441</v>
          </cell>
          <cell r="R33">
            <v>0.27599146632542909</v>
          </cell>
          <cell r="S33">
            <v>0.52752782300105294</v>
          </cell>
          <cell r="T33">
            <v>0.20723152476661358</v>
          </cell>
          <cell r="U33">
            <v>3.103044615695417</v>
          </cell>
          <cell r="V33">
            <v>1.3219911896644214</v>
          </cell>
          <cell r="W33">
            <v>0.47457767920840865</v>
          </cell>
          <cell r="X33">
            <v>0.66051947661169197</v>
          </cell>
          <cell r="Y33">
            <v>0.53331194924070102</v>
          </cell>
          <cell r="Z33">
            <v>0.41450165238618458</v>
          </cell>
          <cell r="AA33">
            <v>-9.5685517039226772E-2</v>
          </cell>
          <cell r="AC33">
            <v>-13.328359886946117</v>
          </cell>
          <cell r="AD33">
            <v>-3.1310717992793387</v>
          </cell>
          <cell r="AE33">
            <v>-1.0691379570508857</v>
          </cell>
          <cell r="AF33">
            <v>-0.46877948637901229</v>
          </cell>
          <cell r="AG33">
            <v>-0.19152876481296746</v>
          </cell>
          <cell r="AH33">
            <v>-6.905886875933287E-2</v>
          </cell>
          <cell r="AI33">
            <v>-9.156336663403087E-3</v>
          </cell>
          <cell r="AJ33">
            <v>6.8705270907910468E-2</v>
          </cell>
          <cell r="AK33">
            <v>8.7481513878893705E-2</v>
          </cell>
          <cell r="AL33">
            <v>0.13947693626284496</v>
          </cell>
          <cell r="AM33">
            <v>0.17194499640825148</v>
          </cell>
          <cell r="AN33">
            <v>0.42658735206950582</v>
          </cell>
          <cell r="AO33">
            <v>0</v>
          </cell>
          <cell r="AP33">
            <v>-13.328359886946117</v>
          </cell>
          <cell r="AQ33">
            <v>0.44286095693198324</v>
          </cell>
          <cell r="AR33">
            <v>0.55015927909268192</v>
          </cell>
          <cell r="AS33">
            <v>0.54840586302139915</v>
          </cell>
          <cell r="AT33">
            <v>0.52426106056888166</v>
          </cell>
          <cell r="AU33">
            <v>0.46108505255106597</v>
          </cell>
          <cell r="AV33">
            <v>0.38328456885322448</v>
          </cell>
          <cell r="AW33">
            <v>0.44700062945355695</v>
          </cell>
          <cell r="AX33">
            <v>0.23501459335714545</v>
          </cell>
          <cell r="AY33">
            <v>0.4863689421884555</v>
          </cell>
          <cell r="AZ33">
            <v>0.50962738053767875</v>
          </cell>
          <cell r="BA33">
            <v>4.3669168716868114</v>
          </cell>
          <cell r="BC33">
            <v>-16.252807459098584</v>
          </cell>
          <cell r="BD33">
            <v>-6.159115963686185</v>
          </cell>
          <cell r="BE33">
            <v>-1.8397882905554404</v>
          </cell>
          <cell r="BF33">
            <v>-0.65475414859858083</v>
          </cell>
          <cell r="BG33">
            <v>-0.42573920848482005</v>
          </cell>
          <cell r="BH33">
            <v>0.36304501764760255</v>
          </cell>
          <cell r="BI33">
            <v>0.49511305635097397</v>
          </cell>
          <cell r="BJ33">
            <v>0.49127412910765472</v>
          </cell>
          <cell r="BK33">
            <v>0.51133671106198686</v>
          </cell>
          <cell r="BL33">
            <v>0.5134746210802601</v>
          </cell>
          <cell r="BM33">
            <v>0.50828578894959009</v>
          </cell>
          <cell r="BN33">
            <v>0.48393409077814387</v>
          </cell>
          <cell r="BO33">
            <v>0</v>
          </cell>
          <cell r="BP33">
            <v>-16.252807459098584</v>
          </cell>
          <cell r="BQ33">
            <v>-0.21508572669307441</v>
          </cell>
          <cell r="BR33">
            <v>0.27599146632542909</v>
          </cell>
          <cell r="BS33">
            <v>0.52752782300105294</v>
          </cell>
          <cell r="BT33">
            <v>0.20723152476661358</v>
          </cell>
          <cell r="BU33">
            <v>3.103044615695417</v>
          </cell>
          <cell r="BV33">
            <v>1.3219911896644214</v>
          </cell>
          <cell r="BW33">
            <v>0.47457767920840865</v>
          </cell>
          <cell r="BX33">
            <v>0.66051947661169197</v>
          </cell>
          <cell r="BY33">
            <v>0.53331194924070102</v>
          </cell>
          <cell r="BZ33">
            <v>0.41450165238618458</v>
          </cell>
          <cell r="CA33">
            <v>-9.5685517039226772E-2</v>
          </cell>
        </row>
        <row r="34">
          <cell r="A34">
            <v>3110</v>
          </cell>
          <cell r="B34" t="str">
            <v>Režijní materiál - provoz</v>
          </cell>
          <cell r="C34">
            <v>23091.17</v>
          </cell>
          <cell r="D34">
            <v>32106.27</v>
          </cell>
          <cell r="E34">
            <v>83165.56</v>
          </cell>
          <cell r="F34">
            <v>128098.34</v>
          </cell>
          <cell r="G34">
            <v>220554.35</v>
          </cell>
          <cell r="H34">
            <v>272753.89</v>
          </cell>
          <cell r="I34">
            <v>325055.62</v>
          </cell>
          <cell r="J34">
            <v>486856.68</v>
          </cell>
          <cell r="K34">
            <v>580348.85000000009</v>
          </cell>
          <cell r="L34">
            <v>688578.34000000008</v>
          </cell>
          <cell r="M34">
            <v>832432.34000000008</v>
          </cell>
          <cell r="N34">
            <v>855121.2</v>
          </cell>
          <cell r="O34">
            <v>0</v>
          </cell>
          <cell r="P34">
            <v>23091.17</v>
          </cell>
          <cell r="Q34">
            <v>9015.1000000000022</v>
          </cell>
          <cell r="R34">
            <v>51059.29</v>
          </cell>
          <cell r="S34">
            <v>44932.78</v>
          </cell>
          <cell r="T34">
            <v>92456.010000000009</v>
          </cell>
          <cell r="U34">
            <v>52199.540000000008</v>
          </cell>
          <cell r="V34">
            <v>52301.729999999996</v>
          </cell>
          <cell r="W34">
            <v>161801.06</v>
          </cell>
          <cell r="X34">
            <v>93492.17</v>
          </cell>
          <cell r="Y34">
            <v>108229.48999999999</v>
          </cell>
          <cell r="Z34">
            <v>143854</v>
          </cell>
          <cell r="AA34">
            <v>22688.86</v>
          </cell>
          <cell r="AC34">
            <v>12791.5</v>
          </cell>
          <cell r="AD34">
            <v>42880.05</v>
          </cell>
          <cell r="AE34">
            <v>120747.87</v>
          </cell>
          <cell r="AF34">
            <v>131682.60999999999</v>
          </cell>
          <cell r="AG34">
            <v>152000.59</v>
          </cell>
          <cell r="AH34">
            <v>164561.56</v>
          </cell>
          <cell r="AI34">
            <v>275281.59999999998</v>
          </cell>
          <cell r="AJ34">
            <v>403940.27</v>
          </cell>
          <cell r="AK34">
            <v>459667.34</v>
          </cell>
          <cell r="AL34">
            <v>516498.48000000004</v>
          </cell>
          <cell r="AM34">
            <v>571268.39</v>
          </cell>
          <cell r="AN34">
            <v>685894.64</v>
          </cell>
          <cell r="AO34">
            <v>0</v>
          </cell>
          <cell r="AP34">
            <v>12791.5</v>
          </cell>
          <cell r="AQ34">
            <v>30088.55</v>
          </cell>
          <cell r="AR34">
            <v>77867.820000000007</v>
          </cell>
          <cell r="AS34">
            <v>10934.74</v>
          </cell>
          <cell r="AT34">
            <v>20317.979999999996</v>
          </cell>
          <cell r="AU34">
            <v>12560.970000000001</v>
          </cell>
          <cell r="AV34">
            <v>110720.04</v>
          </cell>
          <cell r="AW34">
            <v>128658.67000000001</v>
          </cell>
          <cell r="AX34">
            <v>55727.070000000007</v>
          </cell>
          <cell r="AY34">
            <v>56831.14</v>
          </cell>
          <cell r="AZ34">
            <v>54769.909999999996</v>
          </cell>
          <cell r="BA34">
            <v>114626.25</v>
          </cell>
          <cell r="BC34">
            <v>23091.17</v>
          </cell>
          <cell r="BD34">
            <v>32106.27</v>
          </cell>
          <cell r="BE34">
            <v>83165.56</v>
          </cell>
          <cell r="BF34">
            <v>128098.34</v>
          </cell>
          <cell r="BG34">
            <v>220554.35</v>
          </cell>
          <cell r="BH34">
            <v>272753.89</v>
          </cell>
          <cell r="BI34">
            <v>325055.62</v>
          </cell>
          <cell r="BJ34">
            <v>486856.68</v>
          </cell>
          <cell r="BK34">
            <v>580348.85000000009</v>
          </cell>
          <cell r="BL34">
            <v>688578.34000000008</v>
          </cell>
          <cell r="BM34">
            <v>832432.34000000008</v>
          </cell>
          <cell r="BN34">
            <v>855121.2</v>
          </cell>
          <cell r="BO34">
            <v>0</v>
          </cell>
          <cell r="BP34">
            <v>23091.17</v>
          </cell>
          <cell r="BQ34">
            <v>9015.1000000000022</v>
          </cell>
          <cell r="BR34">
            <v>51059.29</v>
          </cell>
          <cell r="BS34">
            <v>44932.78</v>
          </cell>
          <cell r="BT34">
            <v>92456.010000000009</v>
          </cell>
          <cell r="BU34">
            <v>52199.540000000008</v>
          </cell>
          <cell r="BV34">
            <v>52301.729999999996</v>
          </cell>
          <cell r="BW34">
            <v>161801.06</v>
          </cell>
          <cell r="BX34">
            <v>93492.17</v>
          </cell>
          <cell r="BY34">
            <v>108229.48999999999</v>
          </cell>
          <cell r="BZ34">
            <v>143854</v>
          </cell>
          <cell r="CA34">
            <v>22688.86</v>
          </cell>
        </row>
        <row r="35">
          <cell r="A35">
            <v>3120</v>
          </cell>
          <cell r="B35" t="str">
            <v>Energie - provoz</v>
          </cell>
          <cell r="C35">
            <v>0</v>
          </cell>
          <cell r="D35">
            <v>26704</v>
          </cell>
          <cell r="E35">
            <v>48972.18</v>
          </cell>
          <cell r="F35">
            <v>72872.55</v>
          </cell>
          <cell r="G35">
            <v>91827.85</v>
          </cell>
          <cell r="H35">
            <v>29017.630000000012</v>
          </cell>
          <cell r="I35">
            <v>36384.260000000009</v>
          </cell>
          <cell r="J35">
            <v>63627.830000000009</v>
          </cell>
          <cell r="K35">
            <v>93094.24</v>
          </cell>
          <cell r="L35">
            <v>118648.71</v>
          </cell>
          <cell r="M35">
            <v>145595.57</v>
          </cell>
          <cell r="N35">
            <v>168670.89</v>
          </cell>
          <cell r="O35">
            <v>0</v>
          </cell>
          <cell r="P35">
            <v>0</v>
          </cell>
          <cell r="Q35">
            <v>26704</v>
          </cell>
          <cell r="R35">
            <v>22268.18</v>
          </cell>
          <cell r="S35">
            <v>23900.37</v>
          </cell>
          <cell r="T35">
            <v>18955.3</v>
          </cell>
          <cell r="U35">
            <v>-62810.219999999994</v>
          </cell>
          <cell r="V35">
            <v>7366.63</v>
          </cell>
          <cell r="W35">
            <v>27243.57</v>
          </cell>
          <cell r="X35">
            <v>29466.41</v>
          </cell>
          <cell r="Y35">
            <v>25554.47</v>
          </cell>
          <cell r="Z35">
            <v>26946.86</v>
          </cell>
          <cell r="AA35">
            <v>23075.32</v>
          </cell>
          <cell r="AC35">
            <v>0</v>
          </cell>
          <cell r="AD35">
            <v>22829.86</v>
          </cell>
          <cell r="AE35">
            <v>43168.880000000005</v>
          </cell>
          <cell r="AF35">
            <v>66346.31</v>
          </cell>
          <cell r="AG35">
            <v>84973.459999999992</v>
          </cell>
          <cell r="AH35">
            <v>103056.40999999999</v>
          </cell>
          <cell r="AI35">
            <v>120294.57999999999</v>
          </cell>
          <cell r="AJ35">
            <v>136022.54999999999</v>
          </cell>
          <cell r="AK35">
            <v>218916.41999999998</v>
          </cell>
          <cell r="AL35">
            <v>236901.52</v>
          </cell>
          <cell r="AM35">
            <v>258664.74</v>
          </cell>
          <cell r="AN35">
            <v>235560.25</v>
          </cell>
          <cell r="AO35">
            <v>0</v>
          </cell>
          <cell r="AP35">
            <v>0</v>
          </cell>
          <cell r="AQ35">
            <v>22829.86</v>
          </cell>
          <cell r="AR35">
            <v>20339.02</v>
          </cell>
          <cell r="AS35">
            <v>23177.43</v>
          </cell>
          <cell r="AT35">
            <v>18627.149999999998</v>
          </cell>
          <cell r="AU35">
            <v>18082.95</v>
          </cell>
          <cell r="AV35">
            <v>17238.169999999998</v>
          </cell>
          <cell r="AW35">
            <v>15727.97</v>
          </cell>
          <cell r="AX35">
            <v>82893.87000000001</v>
          </cell>
          <cell r="AY35">
            <v>17985.099999999999</v>
          </cell>
          <cell r="AZ35">
            <v>21763.22</v>
          </cell>
          <cell r="BA35">
            <v>-23104.49</v>
          </cell>
          <cell r="BC35">
            <v>0</v>
          </cell>
          <cell r="BD35">
            <v>26704</v>
          </cell>
          <cell r="BE35">
            <v>48972.18</v>
          </cell>
          <cell r="BF35">
            <v>72872.55</v>
          </cell>
          <cell r="BG35">
            <v>91827.85</v>
          </cell>
          <cell r="BH35">
            <v>29017.630000000012</v>
          </cell>
          <cell r="BI35">
            <v>36384.260000000009</v>
          </cell>
          <cell r="BJ35">
            <v>63627.830000000009</v>
          </cell>
          <cell r="BK35">
            <v>93094.24</v>
          </cell>
          <cell r="BL35">
            <v>118648.71</v>
          </cell>
          <cell r="BM35">
            <v>145595.57</v>
          </cell>
          <cell r="BN35">
            <v>168670.89</v>
          </cell>
          <cell r="BO35">
            <v>0</v>
          </cell>
          <cell r="BP35">
            <v>0</v>
          </cell>
          <cell r="BQ35">
            <v>26704</v>
          </cell>
          <cell r="BR35">
            <v>22268.18</v>
          </cell>
          <cell r="BS35">
            <v>23900.37</v>
          </cell>
          <cell r="BT35">
            <v>18955.3</v>
          </cell>
          <cell r="BU35">
            <v>-62810.219999999994</v>
          </cell>
          <cell r="BV35">
            <v>7366.63</v>
          </cell>
          <cell r="BW35">
            <v>27243.57</v>
          </cell>
          <cell r="BX35">
            <v>29466.41</v>
          </cell>
          <cell r="BY35">
            <v>25554.47</v>
          </cell>
          <cell r="BZ35">
            <v>26946.86</v>
          </cell>
          <cell r="CA35">
            <v>23075.32</v>
          </cell>
        </row>
        <row r="36">
          <cell r="A36">
            <v>3130</v>
          </cell>
          <cell r="B36" t="str">
            <v>Opravy a udržování - provoz</v>
          </cell>
          <cell r="C36">
            <v>1471</v>
          </cell>
          <cell r="D36">
            <v>5809.84</v>
          </cell>
          <cell r="E36">
            <v>7492.48</v>
          </cell>
          <cell r="F36">
            <v>7492.48</v>
          </cell>
          <cell r="G36">
            <v>7641.23</v>
          </cell>
          <cell r="H36">
            <v>15386.23</v>
          </cell>
          <cell r="I36">
            <v>24834.95</v>
          </cell>
          <cell r="J36">
            <v>31222.41</v>
          </cell>
          <cell r="K36">
            <v>31222.41</v>
          </cell>
          <cell r="L36">
            <v>47068.41</v>
          </cell>
          <cell r="M36">
            <v>67015.44</v>
          </cell>
          <cell r="N36">
            <v>68998.92</v>
          </cell>
          <cell r="O36">
            <v>0</v>
          </cell>
          <cell r="P36">
            <v>1471</v>
          </cell>
          <cell r="Q36">
            <v>4338.84</v>
          </cell>
          <cell r="R36">
            <v>1682.6399999999999</v>
          </cell>
          <cell r="S36">
            <v>0</v>
          </cell>
          <cell r="T36">
            <v>148.75</v>
          </cell>
          <cell r="U36">
            <v>7745</v>
          </cell>
          <cell r="V36">
            <v>9448.7200000000012</v>
          </cell>
          <cell r="W36">
            <v>6387.46</v>
          </cell>
          <cell r="X36">
            <v>0</v>
          </cell>
          <cell r="Y36">
            <v>15846</v>
          </cell>
          <cell r="Z36">
            <v>19947.03</v>
          </cell>
          <cell r="AA36">
            <v>1983.48</v>
          </cell>
          <cell r="AC36">
            <v>0</v>
          </cell>
          <cell r="AD36">
            <v>11300</v>
          </cell>
          <cell r="AE36">
            <v>36989.43</v>
          </cell>
          <cell r="AF36">
            <v>37639.43</v>
          </cell>
          <cell r="AG36">
            <v>37862.57</v>
          </cell>
          <cell r="AH36">
            <v>68542.570000000007</v>
          </cell>
          <cell r="AI36">
            <v>76020.640000000014</v>
          </cell>
          <cell r="AJ36">
            <v>106308.64000000001</v>
          </cell>
          <cell r="AK36">
            <v>109378.64000000001</v>
          </cell>
          <cell r="AL36">
            <v>109878.64000000001</v>
          </cell>
          <cell r="AM36">
            <v>109878.64000000001</v>
          </cell>
          <cell r="AN36">
            <v>111752.64000000001</v>
          </cell>
          <cell r="AO36">
            <v>0</v>
          </cell>
          <cell r="AP36">
            <v>0</v>
          </cell>
          <cell r="AQ36">
            <v>11300</v>
          </cell>
          <cell r="AR36">
            <v>25689.43</v>
          </cell>
          <cell r="AS36">
            <v>650</v>
          </cell>
          <cell r="AT36">
            <v>223.14</v>
          </cell>
          <cell r="AU36">
            <v>30680</v>
          </cell>
          <cell r="AV36">
            <v>7478.07</v>
          </cell>
          <cell r="AW36">
            <v>30288</v>
          </cell>
          <cell r="AX36">
            <v>3070</v>
          </cell>
          <cell r="AY36">
            <v>500</v>
          </cell>
          <cell r="AZ36">
            <v>0</v>
          </cell>
          <cell r="BA36">
            <v>1874</v>
          </cell>
          <cell r="BC36">
            <v>1471</v>
          </cell>
          <cell r="BD36">
            <v>5809.84</v>
          </cell>
          <cell r="BE36">
            <v>7492.48</v>
          </cell>
          <cell r="BF36">
            <v>7492.48</v>
          </cell>
          <cell r="BG36">
            <v>7641.23</v>
          </cell>
          <cell r="BH36">
            <v>15386.23</v>
          </cell>
          <cell r="BI36">
            <v>24834.95</v>
          </cell>
          <cell r="BJ36">
            <v>31222.41</v>
          </cell>
          <cell r="BK36">
            <v>31222.41</v>
          </cell>
          <cell r="BL36">
            <v>47068.41</v>
          </cell>
          <cell r="BM36">
            <v>67015.44</v>
          </cell>
          <cell r="BN36">
            <v>68998.92</v>
          </cell>
          <cell r="BO36">
            <v>0</v>
          </cell>
          <cell r="BP36">
            <v>1471</v>
          </cell>
          <cell r="BQ36">
            <v>4338.84</v>
          </cell>
          <cell r="BR36">
            <v>1682.6399999999999</v>
          </cell>
          <cell r="BS36">
            <v>0</v>
          </cell>
          <cell r="BT36">
            <v>148.75</v>
          </cell>
          <cell r="BU36">
            <v>7745</v>
          </cell>
          <cell r="BV36">
            <v>9448.7200000000012</v>
          </cell>
          <cell r="BW36">
            <v>6387.46</v>
          </cell>
          <cell r="BX36">
            <v>0</v>
          </cell>
          <cell r="BY36">
            <v>15846</v>
          </cell>
          <cell r="BZ36">
            <v>19947.03</v>
          </cell>
          <cell r="CA36">
            <v>1983.48</v>
          </cell>
        </row>
        <row r="37">
          <cell r="A37">
            <v>3140</v>
          </cell>
          <cell r="B37" t="str">
            <v>Pronájem zařízení</v>
          </cell>
          <cell r="C37">
            <v>0</v>
          </cell>
          <cell r="D37">
            <v>0</v>
          </cell>
          <cell r="E37">
            <v>22651.49</v>
          </cell>
          <cell r="F37">
            <v>29089.49</v>
          </cell>
          <cell r="G37">
            <v>29089.49</v>
          </cell>
          <cell r="H37">
            <v>29089.49</v>
          </cell>
          <cell r="I37">
            <v>29089.49</v>
          </cell>
          <cell r="J37">
            <v>29089.49</v>
          </cell>
          <cell r="K37">
            <v>29089.49</v>
          </cell>
          <cell r="L37">
            <v>29089.49</v>
          </cell>
          <cell r="M37">
            <v>29089.49</v>
          </cell>
          <cell r="N37">
            <v>29089.49</v>
          </cell>
          <cell r="O37">
            <v>0</v>
          </cell>
          <cell r="P37">
            <v>0</v>
          </cell>
          <cell r="Q37">
            <v>0</v>
          </cell>
          <cell r="R37">
            <v>22651.49</v>
          </cell>
          <cell r="S37">
            <v>6438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12886.84</v>
          </cell>
          <cell r="AF37">
            <v>12886.84</v>
          </cell>
          <cell r="AG37">
            <v>12886.84</v>
          </cell>
          <cell r="AH37">
            <v>12886.84</v>
          </cell>
          <cell r="AI37">
            <v>17516.84</v>
          </cell>
          <cell r="AJ37">
            <v>17516.84</v>
          </cell>
          <cell r="AK37">
            <v>17516.84</v>
          </cell>
          <cell r="AL37">
            <v>17516.84</v>
          </cell>
          <cell r="AM37">
            <v>20266.84</v>
          </cell>
          <cell r="AN37">
            <v>20266.84</v>
          </cell>
          <cell r="AO37">
            <v>0</v>
          </cell>
          <cell r="AP37">
            <v>0</v>
          </cell>
          <cell r="AQ37">
            <v>0</v>
          </cell>
          <cell r="AR37">
            <v>12886.84</v>
          </cell>
          <cell r="AS37">
            <v>0</v>
          </cell>
          <cell r="AT37">
            <v>0</v>
          </cell>
          <cell r="AU37">
            <v>0</v>
          </cell>
          <cell r="AV37">
            <v>4630</v>
          </cell>
          <cell r="AW37">
            <v>0</v>
          </cell>
          <cell r="AX37">
            <v>0</v>
          </cell>
          <cell r="AY37">
            <v>0</v>
          </cell>
          <cell r="AZ37">
            <v>2750</v>
          </cell>
          <cell r="BA37">
            <v>0</v>
          </cell>
          <cell r="BC37">
            <v>0</v>
          </cell>
          <cell r="BD37">
            <v>0</v>
          </cell>
          <cell r="BE37">
            <v>22651.49</v>
          </cell>
          <cell r="BF37">
            <v>29089.49</v>
          </cell>
          <cell r="BG37">
            <v>29089.49</v>
          </cell>
          <cell r="BH37">
            <v>29089.49</v>
          </cell>
          <cell r="BI37">
            <v>29089.49</v>
          </cell>
          <cell r="BJ37">
            <v>29089.49</v>
          </cell>
          <cell r="BK37">
            <v>29089.49</v>
          </cell>
          <cell r="BL37">
            <v>29089.49</v>
          </cell>
          <cell r="BM37">
            <v>29089.49</v>
          </cell>
          <cell r="BN37">
            <v>29089.49</v>
          </cell>
          <cell r="BO37">
            <v>0</v>
          </cell>
          <cell r="BP37">
            <v>0</v>
          </cell>
          <cell r="BQ37">
            <v>0</v>
          </cell>
          <cell r="BR37">
            <v>22651.49</v>
          </cell>
          <cell r="BS37">
            <v>6438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</row>
        <row r="38">
          <cell r="A38">
            <v>3150</v>
          </cell>
          <cell r="B38" t="str">
            <v>Odpisy - provoz</v>
          </cell>
          <cell r="C38">
            <v>12379</v>
          </cell>
          <cell r="D38">
            <v>24758</v>
          </cell>
          <cell r="E38">
            <v>37137</v>
          </cell>
          <cell r="F38">
            <v>49516</v>
          </cell>
          <cell r="G38">
            <v>61895</v>
          </cell>
          <cell r="H38">
            <v>74274</v>
          </cell>
          <cell r="I38">
            <v>86653</v>
          </cell>
          <cell r="J38">
            <v>99032</v>
          </cell>
          <cell r="K38">
            <v>111411</v>
          </cell>
          <cell r="L38">
            <v>123790</v>
          </cell>
          <cell r="M38">
            <v>136169</v>
          </cell>
          <cell r="N38">
            <v>148480</v>
          </cell>
          <cell r="O38">
            <v>0</v>
          </cell>
          <cell r="P38">
            <v>12379</v>
          </cell>
          <cell r="Q38">
            <v>12379</v>
          </cell>
          <cell r="R38">
            <v>12379</v>
          </cell>
          <cell r="S38">
            <v>12379</v>
          </cell>
          <cell r="T38">
            <v>12379</v>
          </cell>
          <cell r="U38">
            <v>12379</v>
          </cell>
          <cell r="V38">
            <v>12379</v>
          </cell>
          <cell r="W38">
            <v>12379</v>
          </cell>
          <cell r="X38">
            <v>12379</v>
          </cell>
          <cell r="Y38">
            <v>12379</v>
          </cell>
          <cell r="Z38">
            <v>12379</v>
          </cell>
          <cell r="AA38">
            <v>12311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12379</v>
          </cell>
          <cell r="BD38">
            <v>24758</v>
          </cell>
          <cell r="BE38">
            <v>37137</v>
          </cell>
          <cell r="BF38">
            <v>49516</v>
          </cell>
          <cell r="BG38">
            <v>61895</v>
          </cell>
          <cell r="BH38">
            <v>74274</v>
          </cell>
          <cell r="BI38">
            <v>86653</v>
          </cell>
          <cell r="BJ38">
            <v>99032</v>
          </cell>
          <cell r="BK38">
            <v>111411</v>
          </cell>
          <cell r="BL38">
            <v>123790</v>
          </cell>
          <cell r="BM38">
            <v>136169</v>
          </cell>
          <cell r="BN38">
            <v>148480</v>
          </cell>
          <cell r="BO38">
            <v>0</v>
          </cell>
          <cell r="BP38">
            <v>12379</v>
          </cell>
          <cell r="BQ38">
            <v>12379</v>
          </cell>
          <cell r="BR38">
            <v>12379</v>
          </cell>
          <cell r="BS38">
            <v>12379</v>
          </cell>
          <cell r="BT38">
            <v>12379</v>
          </cell>
          <cell r="BU38">
            <v>12379</v>
          </cell>
          <cell r="BV38">
            <v>12379</v>
          </cell>
          <cell r="BW38">
            <v>12379</v>
          </cell>
          <cell r="BX38">
            <v>12379</v>
          </cell>
          <cell r="BY38">
            <v>12379</v>
          </cell>
          <cell r="BZ38">
            <v>12379</v>
          </cell>
          <cell r="CA38">
            <v>12311</v>
          </cell>
        </row>
        <row r="39">
          <cell r="A39">
            <v>9300</v>
          </cell>
          <cell r="B39" t="str">
            <v>Provozní režie</v>
          </cell>
          <cell r="C39">
            <v>36941.17</v>
          </cell>
          <cell r="D39">
            <v>89378.11</v>
          </cell>
          <cell r="E39">
            <v>199418.71</v>
          </cell>
          <cell r="F39">
            <v>287068.86</v>
          </cell>
          <cell r="G39">
            <v>411007.92</v>
          </cell>
          <cell r="H39">
            <v>420521.24</v>
          </cell>
          <cell r="I39">
            <v>502017.32</v>
          </cell>
          <cell r="J39">
            <v>709828.41</v>
          </cell>
          <cell r="K39">
            <v>845165.99000000011</v>
          </cell>
          <cell r="L39">
            <v>1007174.9500000001</v>
          </cell>
          <cell r="M39">
            <v>1210301.8400000001</v>
          </cell>
          <cell r="N39">
            <v>1270360.5</v>
          </cell>
          <cell r="O39">
            <v>0</v>
          </cell>
          <cell r="P39">
            <v>36941.17</v>
          </cell>
          <cell r="Q39">
            <v>52436.94</v>
          </cell>
          <cell r="R39">
            <v>110040.6</v>
          </cell>
          <cell r="S39">
            <v>87650.15</v>
          </cell>
          <cell r="T39">
            <v>123939.06000000001</v>
          </cell>
          <cell r="U39">
            <v>9513.3200000000143</v>
          </cell>
          <cell r="V39">
            <v>81496.079999999987</v>
          </cell>
          <cell r="W39">
            <v>207811.09</v>
          </cell>
          <cell r="X39">
            <v>135337.58000000002</v>
          </cell>
          <cell r="Y39">
            <v>162008.95999999999</v>
          </cell>
          <cell r="Z39">
            <v>203126.88999999998</v>
          </cell>
          <cell r="AA39">
            <v>60058.66</v>
          </cell>
          <cell r="AC39">
            <v>12791.5</v>
          </cell>
          <cell r="AD39">
            <v>77009.91</v>
          </cell>
          <cell r="AE39">
            <v>213793.02</v>
          </cell>
          <cell r="AF39">
            <v>248555.18999999997</v>
          </cell>
          <cell r="AG39">
            <v>287723.46000000002</v>
          </cell>
          <cell r="AH39">
            <v>349047.38</v>
          </cell>
          <cell r="AI39">
            <v>489113.66</v>
          </cell>
          <cell r="AJ39">
            <v>663788.30000000005</v>
          </cell>
          <cell r="AK39">
            <v>805479.24</v>
          </cell>
          <cell r="AL39">
            <v>880795.48</v>
          </cell>
          <cell r="AM39">
            <v>960078.61</v>
          </cell>
          <cell r="AN39">
            <v>1053474.3700000001</v>
          </cell>
          <cell r="AO39">
            <v>0</v>
          </cell>
          <cell r="AP39">
            <v>12791.5</v>
          </cell>
          <cell r="AQ39">
            <v>64218.41</v>
          </cell>
          <cell r="AR39">
            <v>136783.11000000002</v>
          </cell>
          <cell r="AS39">
            <v>34762.17</v>
          </cell>
          <cell r="AT39">
            <v>39168.26999999999</v>
          </cell>
          <cell r="AU39">
            <v>61323.92</v>
          </cell>
          <cell r="AV39">
            <v>140066.28</v>
          </cell>
          <cell r="AW39">
            <v>174674.64</v>
          </cell>
          <cell r="AX39">
            <v>141690.94</v>
          </cell>
          <cell r="AY39">
            <v>75316.239999999991</v>
          </cell>
          <cell r="AZ39">
            <v>79283.13</v>
          </cell>
          <cell r="BA39">
            <v>93395.76</v>
          </cell>
          <cell r="BC39">
            <v>36941.17</v>
          </cell>
          <cell r="BD39">
            <v>89378.11</v>
          </cell>
          <cell r="BE39">
            <v>199418.71</v>
          </cell>
          <cell r="BF39">
            <v>287068.86</v>
          </cell>
          <cell r="BG39">
            <v>411007.92</v>
          </cell>
          <cell r="BH39">
            <v>420521.24</v>
          </cell>
          <cell r="BI39">
            <v>502017.32</v>
          </cell>
          <cell r="BJ39">
            <v>709828.41</v>
          </cell>
          <cell r="BK39">
            <v>845165.99000000011</v>
          </cell>
          <cell r="BL39">
            <v>1007174.9500000001</v>
          </cell>
          <cell r="BM39">
            <v>1210301.8400000001</v>
          </cell>
          <cell r="BN39">
            <v>1270360.5</v>
          </cell>
          <cell r="BO39">
            <v>0</v>
          </cell>
          <cell r="BP39">
            <v>36941.17</v>
          </cell>
          <cell r="BQ39">
            <v>52436.94</v>
          </cell>
          <cell r="BR39">
            <v>110040.6</v>
          </cell>
          <cell r="BS39">
            <v>87650.15</v>
          </cell>
          <cell r="BT39">
            <v>123939.06000000001</v>
          </cell>
          <cell r="BU39">
            <v>9513.3200000000143</v>
          </cell>
          <cell r="BV39">
            <v>81496.079999999987</v>
          </cell>
          <cell r="BW39">
            <v>207811.09</v>
          </cell>
          <cell r="BX39">
            <v>135337.58000000002</v>
          </cell>
          <cell r="BY39">
            <v>162008.95999999999</v>
          </cell>
          <cell r="BZ39">
            <v>203126.88999999998</v>
          </cell>
          <cell r="CA39">
            <v>60058.66</v>
          </cell>
        </row>
        <row r="40">
          <cell r="A40">
            <v>4510</v>
          </cell>
          <cell r="B40" t="str">
            <v>Režijní materiál - nemovitosti</v>
          </cell>
          <cell r="C40">
            <v>12241.49</v>
          </cell>
          <cell r="D40">
            <v>17172.259999999998</v>
          </cell>
          <cell r="E40">
            <v>29478.129999999997</v>
          </cell>
          <cell r="F40">
            <v>30809.87</v>
          </cell>
          <cell r="G40">
            <v>32759.96</v>
          </cell>
          <cell r="H40">
            <v>48517.07</v>
          </cell>
          <cell r="I40">
            <v>185727.96</v>
          </cell>
          <cell r="J40">
            <v>258587.15999999997</v>
          </cell>
          <cell r="K40">
            <v>374907.97</v>
          </cell>
          <cell r="L40">
            <v>388926.91</v>
          </cell>
          <cell r="M40">
            <v>393569.76999999996</v>
          </cell>
          <cell r="N40">
            <v>434836.32999999996</v>
          </cell>
          <cell r="O40">
            <v>0</v>
          </cell>
          <cell r="P40">
            <v>12241.49</v>
          </cell>
          <cell r="Q40">
            <v>4930.7699999999995</v>
          </cell>
          <cell r="R40">
            <v>12305.869999999999</v>
          </cell>
          <cell r="S40">
            <v>1331.74</v>
          </cell>
          <cell r="T40">
            <v>1950.09</v>
          </cell>
          <cell r="U40">
            <v>15757.11</v>
          </cell>
          <cell r="V40">
            <v>137210.88999999998</v>
          </cell>
          <cell r="W40">
            <v>72859.199999999997</v>
          </cell>
          <cell r="X40">
            <v>116320.81</v>
          </cell>
          <cell r="Y40">
            <v>14018.94</v>
          </cell>
          <cell r="Z40">
            <v>4642.8600000000006</v>
          </cell>
          <cell r="AA40">
            <v>41266.559999999998</v>
          </cell>
          <cell r="AC40">
            <v>1188.93</v>
          </cell>
          <cell r="AD40">
            <v>2923.6400000000003</v>
          </cell>
          <cell r="AE40">
            <v>3710.09</v>
          </cell>
          <cell r="AF40">
            <v>9400.9699999999993</v>
          </cell>
          <cell r="AG40">
            <v>12096.89</v>
          </cell>
          <cell r="AH40">
            <v>42751.310000000005</v>
          </cell>
          <cell r="AI40">
            <v>44268.280000000006</v>
          </cell>
          <cell r="AJ40">
            <v>44578.180000000008</v>
          </cell>
          <cell r="AK40">
            <v>45901.810000000005</v>
          </cell>
          <cell r="AL40">
            <v>59546.240000000005</v>
          </cell>
          <cell r="AM40">
            <v>61802.760000000009</v>
          </cell>
          <cell r="AN40">
            <v>144086.46000000002</v>
          </cell>
          <cell r="AO40">
            <v>0</v>
          </cell>
          <cell r="AP40">
            <v>1188.93</v>
          </cell>
          <cell r="AQ40">
            <v>1734.71</v>
          </cell>
          <cell r="AR40">
            <v>786.44999999999993</v>
          </cell>
          <cell r="AS40">
            <v>5690.88</v>
          </cell>
          <cell r="AT40">
            <v>2695.92</v>
          </cell>
          <cell r="AU40">
            <v>30654.420000000002</v>
          </cell>
          <cell r="AV40">
            <v>1516.97</v>
          </cell>
          <cell r="AW40">
            <v>309.89999999999998</v>
          </cell>
          <cell r="AX40">
            <v>1323.6299999999999</v>
          </cell>
          <cell r="AY40">
            <v>13644.43</v>
          </cell>
          <cell r="AZ40">
            <v>2256.52</v>
          </cell>
          <cell r="BA40">
            <v>82283.7</v>
          </cell>
          <cell r="BC40">
            <v>12241.49</v>
          </cell>
          <cell r="BD40">
            <v>17172.259999999998</v>
          </cell>
          <cell r="BE40">
            <v>29478.129999999997</v>
          </cell>
          <cell r="BF40">
            <v>30809.87</v>
          </cell>
          <cell r="BG40">
            <v>32759.96</v>
          </cell>
          <cell r="BH40">
            <v>48517.07</v>
          </cell>
          <cell r="BI40">
            <v>185727.96</v>
          </cell>
          <cell r="BJ40">
            <v>258587.15999999997</v>
          </cell>
          <cell r="BK40">
            <v>374907.97</v>
          </cell>
          <cell r="BL40">
            <v>388926.91</v>
          </cell>
          <cell r="BM40">
            <v>393569.76999999996</v>
          </cell>
          <cell r="BN40">
            <v>434836.32999999996</v>
          </cell>
          <cell r="BO40">
            <v>0</v>
          </cell>
          <cell r="BP40">
            <v>12241.49</v>
          </cell>
          <cell r="BQ40">
            <v>4930.7699999999995</v>
          </cell>
          <cell r="BR40">
            <v>12305.869999999999</v>
          </cell>
          <cell r="BS40">
            <v>1331.74</v>
          </cell>
          <cell r="BT40">
            <v>1950.09</v>
          </cell>
          <cell r="BU40">
            <v>15757.11</v>
          </cell>
          <cell r="BV40">
            <v>137210.88999999998</v>
          </cell>
          <cell r="BW40">
            <v>72859.199999999997</v>
          </cell>
          <cell r="BX40">
            <v>116320.81</v>
          </cell>
          <cell r="BY40">
            <v>14018.94</v>
          </cell>
          <cell r="BZ40">
            <v>4642.8600000000006</v>
          </cell>
          <cell r="CA40">
            <v>41266.559999999998</v>
          </cell>
        </row>
        <row r="41">
          <cell r="A41">
            <v>4512</v>
          </cell>
          <cell r="B41" t="str">
            <v>Energie - nemovitosti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65984.320000000007</v>
          </cell>
          <cell r="I41">
            <v>75241.78</v>
          </cell>
          <cell r="J41">
            <v>108687.92</v>
          </cell>
          <cell r="K41">
            <v>124849.15000000001</v>
          </cell>
          <cell r="L41">
            <v>131265.15000000002</v>
          </cell>
          <cell r="M41">
            <v>131265.15000000002</v>
          </cell>
          <cell r="N41">
            <v>140065.15000000002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65984.320000000007</v>
          </cell>
          <cell r="V41">
            <v>9257.4599999999991</v>
          </cell>
          <cell r="W41">
            <v>33446.14</v>
          </cell>
          <cell r="X41">
            <v>16161.230000000001</v>
          </cell>
          <cell r="Y41">
            <v>6416</v>
          </cell>
          <cell r="Z41">
            <v>0</v>
          </cell>
          <cell r="AA41">
            <v>8800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38541.78</v>
          </cell>
          <cell r="AL41">
            <v>38541.78</v>
          </cell>
          <cell r="AM41">
            <v>40886.81</v>
          </cell>
          <cell r="AN41">
            <v>34786.81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38541.78</v>
          </cell>
          <cell r="AY41">
            <v>0</v>
          </cell>
          <cell r="AZ41">
            <v>2345.0300000000002</v>
          </cell>
          <cell r="BA41">
            <v>-6100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65984.320000000007</v>
          </cell>
          <cell r="BI41">
            <v>75241.78</v>
          </cell>
          <cell r="BJ41">
            <v>108687.92</v>
          </cell>
          <cell r="BK41">
            <v>124849.15000000001</v>
          </cell>
          <cell r="BL41">
            <v>131265.15000000002</v>
          </cell>
          <cell r="BM41">
            <v>131265.15000000002</v>
          </cell>
          <cell r="BN41">
            <v>140065.15000000002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65984.320000000007</v>
          </cell>
          <cell r="BV41">
            <v>9257.4599999999991</v>
          </cell>
          <cell r="BW41">
            <v>33446.14</v>
          </cell>
          <cell r="BX41">
            <v>16161.230000000001</v>
          </cell>
          <cell r="BY41">
            <v>6416</v>
          </cell>
          <cell r="BZ41">
            <v>0</v>
          </cell>
          <cell r="CA41">
            <v>8800</v>
          </cell>
        </row>
        <row r="42">
          <cell r="A42">
            <v>4520</v>
          </cell>
          <cell r="B42" t="str">
            <v>Opravy o udržování - nemovitosti</v>
          </cell>
          <cell r="C42">
            <v>19795.87</v>
          </cell>
          <cell r="D42">
            <v>19795.87</v>
          </cell>
          <cell r="E42">
            <v>144762.87</v>
          </cell>
          <cell r="F42">
            <v>144762.87</v>
          </cell>
          <cell r="G42">
            <v>150008.87</v>
          </cell>
          <cell r="H42">
            <v>173708.87</v>
          </cell>
          <cell r="I42">
            <v>200862.87</v>
          </cell>
          <cell r="J42">
            <v>200862.87</v>
          </cell>
          <cell r="K42">
            <v>200862.87</v>
          </cell>
          <cell r="L42">
            <v>200862.87</v>
          </cell>
          <cell r="M42">
            <v>245112.87</v>
          </cell>
          <cell r="N42">
            <v>263206.87</v>
          </cell>
          <cell r="O42">
            <v>0</v>
          </cell>
          <cell r="P42">
            <v>19795.87</v>
          </cell>
          <cell r="Q42">
            <v>0</v>
          </cell>
          <cell r="R42">
            <v>124967</v>
          </cell>
          <cell r="S42">
            <v>0</v>
          </cell>
          <cell r="T42">
            <v>5246</v>
          </cell>
          <cell r="U42">
            <v>23700</v>
          </cell>
          <cell r="V42">
            <v>27154</v>
          </cell>
          <cell r="W42">
            <v>0</v>
          </cell>
          <cell r="X42">
            <v>0</v>
          </cell>
          <cell r="Y42">
            <v>0</v>
          </cell>
          <cell r="Z42">
            <v>44250</v>
          </cell>
          <cell r="AA42">
            <v>18094</v>
          </cell>
          <cell r="AC42">
            <v>0</v>
          </cell>
          <cell r="AD42">
            <v>0</v>
          </cell>
          <cell r="AE42">
            <v>1011.57</v>
          </cell>
          <cell r="AF42">
            <v>1011.57</v>
          </cell>
          <cell r="AG42">
            <v>1011.57</v>
          </cell>
          <cell r="AH42">
            <v>48873.57</v>
          </cell>
          <cell r="AI42">
            <v>48873.57</v>
          </cell>
          <cell r="AJ42">
            <v>58223.16</v>
          </cell>
          <cell r="AK42">
            <v>58223.16</v>
          </cell>
          <cell r="AL42">
            <v>61611.350000000006</v>
          </cell>
          <cell r="AM42">
            <v>122146.89000000001</v>
          </cell>
          <cell r="AN42">
            <v>130192.34000000001</v>
          </cell>
          <cell r="AO42">
            <v>0</v>
          </cell>
          <cell r="AP42">
            <v>0</v>
          </cell>
          <cell r="AQ42">
            <v>0</v>
          </cell>
          <cell r="AR42">
            <v>1011.57</v>
          </cell>
          <cell r="AS42">
            <v>0</v>
          </cell>
          <cell r="AT42">
            <v>0</v>
          </cell>
          <cell r="AU42">
            <v>47862</v>
          </cell>
          <cell r="AV42">
            <v>0</v>
          </cell>
          <cell r="AW42">
            <v>9349.59</v>
          </cell>
          <cell r="AX42">
            <v>0</v>
          </cell>
          <cell r="AY42">
            <v>3388.19</v>
          </cell>
          <cell r="AZ42">
            <v>60535.54</v>
          </cell>
          <cell r="BA42">
            <v>8045.45</v>
          </cell>
          <cell r="BC42">
            <v>19795.87</v>
          </cell>
          <cell r="BD42">
            <v>19795.87</v>
          </cell>
          <cell r="BE42">
            <v>144762.87</v>
          </cell>
          <cell r="BF42">
            <v>144762.87</v>
          </cell>
          <cell r="BG42">
            <v>150008.87</v>
          </cell>
          <cell r="BH42">
            <v>173708.87</v>
          </cell>
          <cell r="BI42">
            <v>200862.87</v>
          </cell>
          <cell r="BJ42">
            <v>200862.87</v>
          </cell>
          <cell r="BK42">
            <v>200862.87</v>
          </cell>
          <cell r="BL42">
            <v>200862.87</v>
          </cell>
          <cell r="BM42">
            <v>245112.87</v>
          </cell>
          <cell r="BN42">
            <v>263206.87</v>
          </cell>
          <cell r="BO42">
            <v>0</v>
          </cell>
          <cell r="BP42">
            <v>19795.87</v>
          </cell>
          <cell r="BQ42">
            <v>0</v>
          </cell>
          <cell r="BR42">
            <v>124967</v>
          </cell>
          <cell r="BS42">
            <v>0</v>
          </cell>
          <cell r="BT42">
            <v>5246</v>
          </cell>
          <cell r="BU42">
            <v>23700</v>
          </cell>
          <cell r="BV42">
            <v>27154</v>
          </cell>
          <cell r="BW42">
            <v>0</v>
          </cell>
          <cell r="BX42">
            <v>0</v>
          </cell>
          <cell r="BY42">
            <v>0</v>
          </cell>
          <cell r="BZ42">
            <v>44250</v>
          </cell>
          <cell r="CA42">
            <v>18094</v>
          </cell>
        </row>
        <row r="43">
          <cell r="A43">
            <v>4530</v>
          </cell>
          <cell r="B43" t="str">
            <v>Ostraha - nemovitosti</v>
          </cell>
          <cell r="C43">
            <v>0</v>
          </cell>
          <cell r="D43">
            <v>2650</v>
          </cell>
          <cell r="E43">
            <v>5600</v>
          </cell>
          <cell r="F43">
            <v>11800</v>
          </cell>
          <cell r="G43">
            <v>14150</v>
          </cell>
          <cell r="H43">
            <v>16500</v>
          </cell>
          <cell r="I43">
            <v>22830</v>
          </cell>
          <cell r="J43">
            <v>25480</v>
          </cell>
          <cell r="K43">
            <v>30480</v>
          </cell>
          <cell r="L43">
            <v>34080</v>
          </cell>
          <cell r="M43">
            <v>43970</v>
          </cell>
          <cell r="N43">
            <v>46320</v>
          </cell>
          <cell r="O43">
            <v>0</v>
          </cell>
          <cell r="P43">
            <v>0</v>
          </cell>
          <cell r="Q43">
            <v>2650</v>
          </cell>
          <cell r="R43">
            <v>2950</v>
          </cell>
          <cell r="S43">
            <v>6200</v>
          </cell>
          <cell r="T43">
            <v>2350</v>
          </cell>
          <cell r="U43">
            <v>2350</v>
          </cell>
          <cell r="V43">
            <v>6330</v>
          </cell>
          <cell r="W43">
            <v>2650</v>
          </cell>
          <cell r="X43">
            <v>5000</v>
          </cell>
          <cell r="Y43">
            <v>3600</v>
          </cell>
          <cell r="Z43">
            <v>9890</v>
          </cell>
          <cell r="AA43">
            <v>2350</v>
          </cell>
          <cell r="AC43">
            <v>3200</v>
          </cell>
          <cell r="AD43">
            <v>5850</v>
          </cell>
          <cell r="AE43">
            <v>8200</v>
          </cell>
          <cell r="AF43">
            <v>10850</v>
          </cell>
          <cell r="AG43">
            <v>13500</v>
          </cell>
          <cell r="AH43">
            <v>18600</v>
          </cell>
          <cell r="AI43">
            <v>21850</v>
          </cell>
          <cell r="AJ43">
            <v>24200</v>
          </cell>
          <cell r="AK43">
            <v>32860</v>
          </cell>
          <cell r="AL43">
            <v>35510</v>
          </cell>
          <cell r="AM43">
            <v>41104</v>
          </cell>
          <cell r="AN43">
            <v>46054</v>
          </cell>
          <cell r="AO43">
            <v>0</v>
          </cell>
          <cell r="AP43">
            <v>3200</v>
          </cell>
          <cell r="AQ43">
            <v>2650</v>
          </cell>
          <cell r="AR43">
            <v>2350</v>
          </cell>
          <cell r="AS43">
            <v>2650</v>
          </cell>
          <cell r="AT43">
            <v>2650</v>
          </cell>
          <cell r="AU43">
            <v>5100</v>
          </cell>
          <cell r="AV43">
            <v>3250</v>
          </cell>
          <cell r="AW43">
            <v>2350</v>
          </cell>
          <cell r="AX43">
            <v>8660</v>
          </cell>
          <cell r="AY43">
            <v>2650</v>
          </cell>
          <cell r="AZ43">
            <v>5594</v>
          </cell>
          <cell r="BA43">
            <v>4950</v>
          </cell>
          <cell r="BC43">
            <v>0</v>
          </cell>
          <cell r="BD43">
            <v>2650</v>
          </cell>
          <cell r="BE43">
            <v>5600</v>
          </cell>
          <cell r="BF43">
            <v>11800</v>
          </cell>
          <cell r="BG43">
            <v>14150</v>
          </cell>
          <cell r="BH43">
            <v>16500</v>
          </cell>
          <cell r="BI43">
            <v>22830</v>
          </cell>
          <cell r="BJ43">
            <v>25480</v>
          </cell>
          <cell r="BK43">
            <v>30480</v>
          </cell>
          <cell r="BL43">
            <v>34080</v>
          </cell>
          <cell r="BM43">
            <v>43970</v>
          </cell>
          <cell r="BN43">
            <v>46320</v>
          </cell>
          <cell r="BO43">
            <v>0</v>
          </cell>
          <cell r="BP43">
            <v>0</v>
          </cell>
          <cell r="BQ43">
            <v>2650</v>
          </cell>
          <cell r="BR43">
            <v>2950</v>
          </cell>
          <cell r="BS43">
            <v>6200</v>
          </cell>
          <cell r="BT43">
            <v>2350</v>
          </cell>
          <cell r="BU43">
            <v>2350</v>
          </cell>
          <cell r="BV43">
            <v>6330</v>
          </cell>
          <cell r="BW43">
            <v>2650</v>
          </cell>
          <cell r="BX43">
            <v>5000</v>
          </cell>
          <cell r="BY43">
            <v>3600</v>
          </cell>
          <cell r="BZ43">
            <v>9890</v>
          </cell>
          <cell r="CA43">
            <v>2350</v>
          </cell>
        </row>
        <row r="44">
          <cell r="A44">
            <v>4540</v>
          </cell>
          <cell r="B44" t="str">
            <v>Daně - majetek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118512</v>
          </cell>
          <cell r="H44">
            <v>118512</v>
          </cell>
          <cell r="I44">
            <v>118512</v>
          </cell>
          <cell r="J44">
            <v>118512</v>
          </cell>
          <cell r="K44">
            <v>118512</v>
          </cell>
          <cell r="L44">
            <v>118512</v>
          </cell>
          <cell r="M44">
            <v>118512</v>
          </cell>
          <cell r="N44">
            <v>118512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118512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117608</v>
          </cell>
          <cell r="AH44">
            <v>117608</v>
          </cell>
          <cell r="AI44">
            <v>117608</v>
          </cell>
          <cell r="AJ44">
            <v>117608</v>
          </cell>
          <cell r="AK44">
            <v>117608</v>
          </cell>
          <cell r="AL44">
            <v>117608</v>
          </cell>
          <cell r="AM44">
            <v>117608</v>
          </cell>
          <cell r="AN44">
            <v>118512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117608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904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118512</v>
          </cell>
          <cell r="BH44">
            <v>118512</v>
          </cell>
          <cell r="BI44">
            <v>118512</v>
          </cell>
          <cell r="BJ44">
            <v>118512</v>
          </cell>
          <cell r="BK44">
            <v>118512</v>
          </cell>
          <cell r="BL44">
            <v>118512</v>
          </cell>
          <cell r="BM44">
            <v>118512</v>
          </cell>
          <cell r="BN44">
            <v>118512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118512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</row>
        <row r="45">
          <cell r="A45">
            <v>4550</v>
          </cell>
          <cell r="B45" t="str">
            <v>Odpady - nemovitosti</v>
          </cell>
          <cell r="C45">
            <v>11669.210000000001</v>
          </cell>
          <cell r="D45">
            <v>16726.21</v>
          </cell>
          <cell r="E45">
            <v>23383.21</v>
          </cell>
          <cell r="F45">
            <v>28440.21</v>
          </cell>
          <cell r="G45">
            <v>33901.03</v>
          </cell>
          <cell r="H45">
            <v>134733.95000000001</v>
          </cell>
          <cell r="I45">
            <v>140961.11000000002</v>
          </cell>
          <cell r="J45">
            <v>146018.11000000002</v>
          </cell>
          <cell r="K45">
            <v>157597.35</v>
          </cell>
          <cell r="L45">
            <v>162654.35</v>
          </cell>
          <cell r="M45">
            <v>168151.35</v>
          </cell>
          <cell r="N45">
            <v>168709.35</v>
          </cell>
          <cell r="O45">
            <v>0</v>
          </cell>
          <cell r="P45">
            <v>11669.210000000001</v>
          </cell>
          <cell r="Q45">
            <v>5057</v>
          </cell>
          <cell r="R45">
            <v>6657</v>
          </cell>
          <cell r="S45">
            <v>5057</v>
          </cell>
          <cell r="T45">
            <v>5460.8200000000006</v>
          </cell>
          <cell r="U45">
            <v>100832.92</v>
          </cell>
          <cell r="V45">
            <v>6227.1600000000008</v>
          </cell>
          <cell r="W45">
            <v>5057</v>
          </cell>
          <cell r="X45">
            <v>11579.240000000002</v>
          </cell>
          <cell r="Y45">
            <v>5057</v>
          </cell>
          <cell r="Z45">
            <v>5497</v>
          </cell>
          <cell r="AA45">
            <v>558</v>
          </cell>
          <cell r="AC45">
            <v>10718.849999999999</v>
          </cell>
          <cell r="AD45">
            <v>15775.849999999999</v>
          </cell>
          <cell r="AE45">
            <v>22750.85</v>
          </cell>
          <cell r="AF45">
            <v>27807.85</v>
          </cell>
          <cell r="AG45">
            <v>32864.85</v>
          </cell>
          <cell r="AH45">
            <v>142624.85</v>
          </cell>
          <cell r="AI45">
            <v>147790.11000000002</v>
          </cell>
          <cell r="AJ45">
            <v>152847.11000000002</v>
          </cell>
          <cell r="AK45">
            <v>159008.43000000002</v>
          </cell>
          <cell r="AL45">
            <v>164065.43000000002</v>
          </cell>
          <cell r="AM45">
            <v>169255.48</v>
          </cell>
          <cell r="AN45">
            <v>305171.14</v>
          </cell>
          <cell r="AO45">
            <v>0</v>
          </cell>
          <cell r="AP45">
            <v>10718.849999999999</v>
          </cell>
          <cell r="AQ45">
            <v>5057</v>
          </cell>
          <cell r="AR45">
            <v>6975</v>
          </cell>
          <cell r="AS45">
            <v>5057</v>
          </cell>
          <cell r="AT45">
            <v>5057</v>
          </cell>
          <cell r="AU45">
            <v>109760</v>
          </cell>
          <cell r="AV45">
            <v>5165.26</v>
          </cell>
          <cell r="AW45">
            <v>5057</v>
          </cell>
          <cell r="AX45">
            <v>6161.3200000000006</v>
          </cell>
          <cell r="AY45">
            <v>5057</v>
          </cell>
          <cell r="AZ45">
            <v>5190.05</v>
          </cell>
          <cell r="BA45">
            <v>135915.66</v>
          </cell>
          <cell r="BC45">
            <v>11669.210000000001</v>
          </cell>
          <cell r="BD45">
            <v>16726.21</v>
          </cell>
          <cell r="BE45">
            <v>23383.21</v>
          </cell>
          <cell r="BF45">
            <v>28440.21</v>
          </cell>
          <cell r="BG45">
            <v>33901.03</v>
          </cell>
          <cell r="BH45">
            <v>134733.95000000001</v>
          </cell>
          <cell r="BI45">
            <v>140961.11000000002</v>
          </cell>
          <cell r="BJ45">
            <v>146018.11000000002</v>
          </cell>
          <cell r="BK45">
            <v>157597.35</v>
          </cell>
          <cell r="BL45">
            <v>162654.35</v>
          </cell>
          <cell r="BM45">
            <v>168151.35</v>
          </cell>
          <cell r="BN45">
            <v>168709.35</v>
          </cell>
          <cell r="BO45">
            <v>0</v>
          </cell>
          <cell r="BP45">
            <v>11669.210000000001</v>
          </cell>
          <cell r="BQ45">
            <v>5057</v>
          </cell>
          <cell r="BR45">
            <v>6657</v>
          </cell>
          <cell r="BS45">
            <v>5057</v>
          </cell>
          <cell r="BT45">
            <v>5460.8200000000006</v>
          </cell>
          <cell r="BU45">
            <v>100832.92</v>
          </cell>
          <cell r="BV45">
            <v>6227.1600000000008</v>
          </cell>
          <cell r="BW45">
            <v>5057</v>
          </cell>
          <cell r="BX45">
            <v>11579.240000000002</v>
          </cell>
          <cell r="BY45">
            <v>5057</v>
          </cell>
          <cell r="BZ45">
            <v>5497</v>
          </cell>
          <cell r="CA45">
            <v>558</v>
          </cell>
        </row>
        <row r="46">
          <cell r="A46">
            <v>4560</v>
          </cell>
          <cell r="B46" t="str">
            <v>Pojistění - nemovitosti</v>
          </cell>
          <cell r="C46">
            <v>4950.96</v>
          </cell>
          <cell r="D46">
            <v>9422.7999999999993</v>
          </cell>
          <cell r="E46">
            <v>14373.76</v>
          </cell>
          <cell r="F46">
            <v>19165.010000000002</v>
          </cell>
          <cell r="G46">
            <v>24115.97</v>
          </cell>
          <cell r="H46">
            <v>28907.230000000003</v>
          </cell>
          <cell r="I46">
            <v>36272.19</v>
          </cell>
          <cell r="J46">
            <v>41223.15</v>
          </cell>
          <cell r="K46">
            <v>46014.41</v>
          </cell>
          <cell r="L46">
            <v>51613.060000000005</v>
          </cell>
          <cell r="M46">
            <v>57074.340000000004</v>
          </cell>
          <cell r="N46">
            <v>62702.310000000005</v>
          </cell>
          <cell r="O46">
            <v>0</v>
          </cell>
          <cell r="P46">
            <v>4950.96</v>
          </cell>
          <cell r="Q46">
            <v>4471.84</v>
          </cell>
          <cell r="R46">
            <v>4950.96</v>
          </cell>
          <cell r="S46">
            <v>4791.25</v>
          </cell>
          <cell r="T46">
            <v>4950.96</v>
          </cell>
          <cell r="U46">
            <v>4791.26</v>
          </cell>
          <cell r="V46">
            <v>7364.96</v>
          </cell>
          <cell r="W46">
            <v>4950.96</v>
          </cell>
          <cell r="X46">
            <v>4791.26</v>
          </cell>
          <cell r="Y46">
            <v>5598.65</v>
          </cell>
          <cell r="Z46">
            <v>5461.2800000000007</v>
          </cell>
          <cell r="AA46">
            <v>5627.97</v>
          </cell>
          <cell r="AC46">
            <v>4838.08</v>
          </cell>
          <cell r="AD46">
            <v>9676.16</v>
          </cell>
          <cell r="AE46">
            <v>14514.24</v>
          </cell>
          <cell r="AF46">
            <v>19352.32</v>
          </cell>
          <cell r="AG46">
            <v>24190.400000000001</v>
          </cell>
          <cell r="AH46">
            <v>29028.480000000003</v>
          </cell>
          <cell r="AI46">
            <v>33866.560000000005</v>
          </cell>
          <cell r="AJ46">
            <v>38704.640000000007</v>
          </cell>
          <cell r="AK46">
            <v>43542.720000000008</v>
          </cell>
          <cell r="AL46">
            <v>48380.80000000001</v>
          </cell>
          <cell r="AM46">
            <v>53218.880000000012</v>
          </cell>
          <cell r="AN46">
            <v>58056.960000000014</v>
          </cell>
          <cell r="AO46">
            <v>0</v>
          </cell>
          <cell r="AP46">
            <v>4838.08</v>
          </cell>
          <cell r="AQ46">
            <v>4838.08</v>
          </cell>
          <cell r="AR46">
            <v>4838.08</v>
          </cell>
          <cell r="AS46">
            <v>4838.08</v>
          </cell>
          <cell r="AT46">
            <v>4838.08</v>
          </cell>
          <cell r="AU46">
            <v>4838.08</v>
          </cell>
          <cell r="AV46">
            <v>4838.08</v>
          </cell>
          <cell r="AW46">
            <v>4838.08</v>
          </cell>
          <cell r="AX46">
            <v>4838.08</v>
          </cell>
          <cell r="AY46">
            <v>4838.08</v>
          </cell>
          <cell r="AZ46">
            <v>4838.08</v>
          </cell>
          <cell r="BA46">
            <v>4838.08</v>
          </cell>
          <cell r="BC46">
            <v>4950.96</v>
          </cell>
          <cell r="BD46">
            <v>9422.7999999999993</v>
          </cell>
          <cell r="BE46">
            <v>14373.76</v>
          </cell>
          <cell r="BF46">
            <v>19165.010000000002</v>
          </cell>
          <cell r="BG46">
            <v>24115.97</v>
          </cell>
          <cell r="BH46">
            <v>28907.230000000003</v>
          </cell>
          <cell r="BI46">
            <v>36272.19</v>
          </cell>
          <cell r="BJ46">
            <v>41223.15</v>
          </cell>
          <cell r="BK46">
            <v>46014.41</v>
          </cell>
          <cell r="BL46">
            <v>51613.060000000005</v>
          </cell>
          <cell r="BM46">
            <v>57074.340000000004</v>
          </cell>
          <cell r="BN46">
            <v>62702.310000000005</v>
          </cell>
          <cell r="BO46">
            <v>0</v>
          </cell>
          <cell r="BP46">
            <v>4950.96</v>
          </cell>
          <cell r="BQ46">
            <v>4471.84</v>
          </cell>
          <cell r="BR46">
            <v>4950.96</v>
          </cell>
          <cell r="BS46">
            <v>4791.25</v>
          </cell>
          <cell r="BT46">
            <v>4950.96</v>
          </cell>
          <cell r="BU46">
            <v>4791.26</v>
          </cell>
          <cell r="BV46">
            <v>7364.96</v>
          </cell>
          <cell r="BW46">
            <v>4950.96</v>
          </cell>
          <cell r="BX46">
            <v>4791.26</v>
          </cell>
          <cell r="BY46">
            <v>5598.65</v>
          </cell>
          <cell r="BZ46">
            <v>5461.2800000000007</v>
          </cell>
          <cell r="CA46">
            <v>5627.97</v>
          </cell>
        </row>
        <row r="47">
          <cell r="A47">
            <v>4570</v>
          </cell>
          <cell r="B47" t="str">
            <v>Odpisy - nemovitosti</v>
          </cell>
          <cell r="C47">
            <v>42484</v>
          </cell>
          <cell r="D47">
            <v>114207</v>
          </cell>
          <cell r="E47">
            <v>185930</v>
          </cell>
          <cell r="F47">
            <v>257653</v>
          </cell>
          <cell r="G47">
            <v>331636</v>
          </cell>
          <cell r="H47">
            <v>405619</v>
          </cell>
          <cell r="I47">
            <v>479602</v>
          </cell>
          <cell r="J47">
            <v>553585</v>
          </cell>
          <cell r="K47">
            <v>627568</v>
          </cell>
          <cell r="L47">
            <v>709651</v>
          </cell>
          <cell r="M47">
            <v>783634</v>
          </cell>
          <cell r="N47">
            <v>589573</v>
          </cell>
          <cell r="O47">
            <v>0</v>
          </cell>
          <cell r="P47">
            <v>42484</v>
          </cell>
          <cell r="Q47">
            <v>71723</v>
          </cell>
          <cell r="R47">
            <v>71723</v>
          </cell>
          <cell r="S47">
            <v>71723</v>
          </cell>
          <cell r="T47">
            <v>73983</v>
          </cell>
          <cell r="U47">
            <v>73983</v>
          </cell>
          <cell r="V47">
            <v>73983</v>
          </cell>
          <cell r="W47">
            <v>73983</v>
          </cell>
          <cell r="X47">
            <v>73983</v>
          </cell>
          <cell r="Y47">
            <v>82083</v>
          </cell>
          <cell r="Z47">
            <v>73983</v>
          </cell>
          <cell r="AA47">
            <v>-194061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1048565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1048565</v>
          </cell>
          <cell r="BC47">
            <v>42484</v>
          </cell>
          <cell r="BD47">
            <v>114207</v>
          </cell>
          <cell r="BE47">
            <v>185930</v>
          </cell>
          <cell r="BF47">
            <v>257653</v>
          </cell>
          <cell r="BG47">
            <v>331636</v>
          </cell>
          <cell r="BH47">
            <v>405619</v>
          </cell>
          <cell r="BI47">
            <v>479602</v>
          </cell>
          <cell r="BJ47">
            <v>553585</v>
          </cell>
          <cell r="BK47">
            <v>627568</v>
          </cell>
          <cell r="BL47">
            <v>709651</v>
          </cell>
          <cell r="BM47">
            <v>783634</v>
          </cell>
          <cell r="BN47">
            <v>589573</v>
          </cell>
          <cell r="BO47">
            <v>0</v>
          </cell>
          <cell r="BP47">
            <v>42484</v>
          </cell>
          <cell r="BQ47">
            <v>71723</v>
          </cell>
          <cell r="BR47">
            <v>71723</v>
          </cell>
          <cell r="BS47">
            <v>71723</v>
          </cell>
          <cell r="BT47">
            <v>73983</v>
          </cell>
          <cell r="BU47">
            <v>73983</v>
          </cell>
          <cell r="BV47">
            <v>73983</v>
          </cell>
          <cell r="BW47">
            <v>73983</v>
          </cell>
          <cell r="BX47">
            <v>73983</v>
          </cell>
          <cell r="BY47">
            <v>82083</v>
          </cell>
          <cell r="BZ47">
            <v>73983</v>
          </cell>
          <cell r="CA47">
            <v>-194061</v>
          </cell>
        </row>
        <row r="48">
          <cell r="A48">
            <v>9400</v>
          </cell>
          <cell r="B48" t="str">
            <v>Správa a údržba nemovitostí</v>
          </cell>
          <cell r="C48">
            <v>91141.53</v>
          </cell>
          <cell r="D48">
            <v>179974.14</v>
          </cell>
          <cell r="E48">
            <v>403527.97</v>
          </cell>
          <cell r="F48">
            <v>492630.95999999996</v>
          </cell>
          <cell r="G48">
            <v>705083.83</v>
          </cell>
          <cell r="H48">
            <v>992482.44</v>
          </cell>
          <cell r="I48">
            <v>1260009.9099999999</v>
          </cell>
          <cell r="J48">
            <v>1452956.21</v>
          </cell>
          <cell r="K48">
            <v>1680791.75</v>
          </cell>
          <cell r="L48">
            <v>1797565.3399999999</v>
          </cell>
          <cell r="M48">
            <v>1941289.48</v>
          </cell>
          <cell r="N48">
            <v>1823925.01</v>
          </cell>
          <cell r="O48">
            <v>0</v>
          </cell>
          <cell r="P48">
            <v>91141.53</v>
          </cell>
          <cell r="Q48">
            <v>88832.61</v>
          </cell>
          <cell r="R48">
            <v>223553.83</v>
          </cell>
          <cell r="S48">
            <v>89102.989999999991</v>
          </cell>
          <cell r="T48">
            <v>212452.87</v>
          </cell>
          <cell r="U48">
            <v>287398.61</v>
          </cell>
          <cell r="V48">
            <v>267527.46999999997</v>
          </cell>
          <cell r="W48">
            <v>192946.3</v>
          </cell>
          <cell r="X48">
            <v>227835.54</v>
          </cell>
          <cell r="Y48">
            <v>116773.59</v>
          </cell>
          <cell r="Z48">
            <v>143724.14000000001</v>
          </cell>
          <cell r="AA48">
            <v>-117364.47</v>
          </cell>
          <cell r="AC48">
            <v>19945.86</v>
          </cell>
          <cell r="AD48">
            <v>34225.649999999994</v>
          </cell>
          <cell r="AE48">
            <v>50186.749999999993</v>
          </cell>
          <cell r="AF48">
            <v>68422.709999999992</v>
          </cell>
          <cell r="AG48">
            <v>201271.71</v>
          </cell>
          <cell r="AH48">
            <v>399486.20999999996</v>
          </cell>
          <cell r="AI48">
            <v>414256.52</v>
          </cell>
          <cell r="AJ48">
            <v>436161.09000000008</v>
          </cell>
          <cell r="AK48">
            <v>495685.90000000008</v>
          </cell>
          <cell r="AL48">
            <v>525263.60000000009</v>
          </cell>
          <cell r="AM48">
            <v>606022.82000000007</v>
          </cell>
          <cell r="AN48">
            <v>1885424.71</v>
          </cell>
          <cell r="AO48">
            <v>0</v>
          </cell>
          <cell r="AP48">
            <v>19945.86</v>
          </cell>
          <cell r="AQ48">
            <v>14279.789999999999</v>
          </cell>
          <cell r="AR48">
            <v>15961.1</v>
          </cell>
          <cell r="AS48">
            <v>18235.96</v>
          </cell>
          <cell r="AT48">
            <v>132849</v>
          </cell>
          <cell r="AU48">
            <v>198214.49999999997</v>
          </cell>
          <cell r="AV48">
            <v>14770.31</v>
          </cell>
          <cell r="AW48">
            <v>21904.57</v>
          </cell>
          <cell r="AX48">
            <v>59524.81</v>
          </cell>
          <cell r="AY48">
            <v>29577.699999999997</v>
          </cell>
          <cell r="AZ48">
            <v>80759.22</v>
          </cell>
          <cell r="BA48">
            <v>1279401.8899999999</v>
          </cell>
          <cell r="BC48">
            <v>91141.53</v>
          </cell>
          <cell r="BD48">
            <v>179974.14</v>
          </cell>
          <cell r="BE48">
            <v>403527.97</v>
          </cell>
          <cell r="BF48">
            <v>492630.95999999996</v>
          </cell>
          <cell r="BG48">
            <v>705083.83</v>
          </cell>
          <cell r="BH48">
            <v>992482.44</v>
          </cell>
          <cell r="BI48">
            <v>1260009.9099999999</v>
          </cell>
          <cell r="BJ48">
            <v>1452956.21</v>
          </cell>
          <cell r="BK48">
            <v>1680791.75</v>
          </cell>
          <cell r="BL48">
            <v>1797565.3399999999</v>
          </cell>
          <cell r="BM48">
            <v>1941289.48</v>
          </cell>
          <cell r="BN48">
            <v>1823925.01</v>
          </cell>
          <cell r="BO48">
            <v>0</v>
          </cell>
          <cell r="BP48">
            <v>91141.53</v>
          </cell>
          <cell r="BQ48">
            <v>88832.61</v>
          </cell>
          <cell r="BR48">
            <v>223553.83</v>
          </cell>
          <cell r="BS48">
            <v>89102.989999999991</v>
          </cell>
          <cell r="BT48">
            <v>212452.87</v>
          </cell>
          <cell r="BU48">
            <v>287398.61</v>
          </cell>
          <cell r="BV48">
            <v>267527.46999999997</v>
          </cell>
          <cell r="BW48">
            <v>192946.3</v>
          </cell>
          <cell r="BX48">
            <v>227835.54</v>
          </cell>
          <cell r="BY48">
            <v>116773.59</v>
          </cell>
          <cell r="BZ48">
            <v>143724.14000000001</v>
          </cell>
          <cell r="CA48">
            <v>-117364.47</v>
          </cell>
        </row>
        <row r="49">
          <cell r="A49">
            <v>5000</v>
          </cell>
          <cell r="B49" t="str">
            <v>Doprava a skladování</v>
          </cell>
          <cell r="C49">
            <v>11405.04</v>
          </cell>
          <cell r="D49">
            <v>18546.86</v>
          </cell>
          <cell r="E49">
            <v>42130.21</v>
          </cell>
          <cell r="F49">
            <v>79306.209999999992</v>
          </cell>
          <cell r="G49">
            <v>120449.20999999999</v>
          </cell>
          <cell r="H49">
            <v>180626.56999999998</v>
          </cell>
          <cell r="I49">
            <v>268396.90999999997</v>
          </cell>
          <cell r="J49">
            <v>307108.90999999997</v>
          </cell>
          <cell r="K49">
            <v>394149.91</v>
          </cell>
          <cell r="L49">
            <v>450779.42</v>
          </cell>
          <cell r="M49">
            <v>487530.12</v>
          </cell>
          <cell r="N49">
            <v>508420.92</v>
          </cell>
          <cell r="O49">
            <v>0</v>
          </cell>
          <cell r="P49">
            <v>11405.04</v>
          </cell>
          <cell r="Q49">
            <v>7141.8200000000006</v>
          </cell>
          <cell r="R49">
            <v>23583.35</v>
          </cell>
          <cell r="S49">
            <v>37176</v>
          </cell>
          <cell r="T49">
            <v>41143</v>
          </cell>
          <cell r="U49">
            <v>60177.36</v>
          </cell>
          <cell r="V49">
            <v>87770.34</v>
          </cell>
          <cell r="W49">
            <v>38712</v>
          </cell>
          <cell r="X49">
            <v>87041</v>
          </cell>
          <cell r="Y49">
            <v>56629.509999999995</v>
          </cell>
          <cell r="Z49">
            <v>36750.699999999997</v>
          </cell>
          <cell r="AA49">
            <v>20890.8</v>
          </cell>
          <cell r="AB49">
            <v>0</v>
          </cell>
          <cell r="AC49">
            <v>10013</v>
          </cell>
          <cell r="AD49">
            <v>25095.15</v>
          </cell>
          <cell r="AE49">
            <v>52530.71</v>
          </cell>
          <cell r="AF49">
            <v>129864.70999999999</v>
          </cell>
          <cell r="AG49">
            <v>145084.02000000002</v>
          </cell>
          <cell r="AH49">
            <v>205545.02000000002</v>
          </cell>
          <cell r="AI49">
            <v>295757.02</v>
          </cell>
          <cell r="AJ49">
            <v>301652.02</v>
          </cell>
          <cell r="AK49">
            <v>317951.81</v>
          </cell>
          <cell r="AL49">
            <v>406818.04000000004</v>
          </cell>
          <cell r="AM49">
            <v>452926.5</v>
          </cell>
          <cell r="AN49">
            <v>508666.94000000006</v>
          </cell>
          <cell r="AO49">
            <v>0</v>
          </cell>
          <cell r="AP49">
            <v>10013</v>
          </cell>
          <cell r="AQ49">
            <v>15082.15</v>
          </cell>
          <cell r="AR49">
            <v>27435.56</v>
          </cell>
          <cell r="AS49">
            <v>77334</v>
          </cell>
          <cell r="AT49">
            <v>15219.31</v>
          </cell>
          <cell r="AU49">
            <v>60461</v>
          </cell>
          <cell r="AV49">
            <v>90212</v>
          </cell>
          <cell r="AW49">
            <v>5895</v>
          </cell>
          <cell r="AX49">
            <v>16299.79</v>
          </cell>
          <cell r="AY49">
            <v>88866.23</v>
          </cell>
          <cell r="AZ49">
            <v>46108.46</v>
          </cell>
          <cell r="BA49">
            <v>55740.44</v>
          </cell>
          <cell r="BB49">
            <v>0</v>
          </cell>
          <cell r="BC49">
            <v>11405.04</v>
          </cell>
          <cell r="BD49">
            <v>18546.86</v>
          </cell>
          <cell r="BE49">
            <v>42130.21</v>
          </cell>
          <cell r="BF49">
            <v>79306.209999999992</v>
          </cell>
          <cell r="BG49">
            <v>120449.20999999999</v>
          </cell>
          <cell r="BH49">
            <v>180626.56999999998</v>
          </cell>
          <cell r="BI49">
            <v>268396.90999999997</v>
          </cell>
          <cell r="BJ49">
            <v>307108.90999999997</v>
          </cell>
          <cell r="BK49">
            <v>394149.91</v>
          </cell>
          <cell r="BL49">
            <v>450779.42</v>
          </cell>
          <cell r="BM49">
            <v>487530.12</v>
          </cell>
          <cell r="BN49">
            <v>508420.92</v>
          </cell>
          <cell r="BO49">
            <v>0</v>
          </cell>
          <cell r="BP49">
            <v>11405.04</v>
          </cell>
          <cell r="BQ49">
            <v>7141.8200000000006</v>
          </cell>
          <cell r="BR49">
            <v>23583.35</v>
          </cell>
          <cell r="BS49">
            <v>37176</v>
          </cell>
          <cell r="BT49">
            <v>41143</v>
          </cell>
          <cell r="BU49">
            <v>60177.36</v>
          </cell>
          <cell r="BV49">
            <v>87770.34</v>
          </cell>
          <cell r="BW49">
            <v>38712</v>
          </cell>
          <cell r="BX49">
            <v>87041</v>
          </cell>
          <cell r="BY49">
            <v>56629.509999999995</v>
          </cell>
          <cell r="BZ49">
            <v>36750.699999999997</v>
          </cell>
          <cell r="CA49">
            <v>20890.8</v>
          </cell>
        </row>
        <row r="50">
          <cell r="A50">
            <v>5050</v>
          </cell>
          <cell r="B50" t="str">
            <v>Rezervy a odpisy zásob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</row>
        <row r="51">
          <cell r="A51">
            <v>5100</v>
          </cell>
          <cell r="B51" t="str">
            <v>Marketing</v>
          </cell>
          <cell r="C51">
            <v>16877.75</v>
          </cell>
          <cell r="D51">
            <v>32168.14</v>
          </cell>
          <cell r="E51">
            <v>62014.36</v>
          </cell>
          <cell r="F51">
            <v>108550.47</v>
          </cell>
          <cell r="G51">
            <v>167050.84000000003</v>
          </cell>
          <cell r="H51">
            <v>202900.1</v>
          </cell>
          <cell r="I51">
            <v>232130.45</v>
          </cell>
          <cell r="J51">
            <v>275326.25</v>
          </cell>
          <cell r="K51">
            <v>298156.54000000004</v>
          </cell>
          <cell r="L51">
            <v>309254.02</v>
          </cell>
          <cell r="M51">
            <v>403739.94999999995</v>
          </cell>
          <cell r="N51">
            <v>325887.93</v>
          </cell>
          <cell r="O51">
            <v>0</v>
          </cell>
          <cell r="P51">
            <v>16877.75</v>
          </cell>
          <cell r="Q51">
            <v>15290.390000000001</v>
          </cell>
          <cell r="R51">
            <v>29846.22</v>
          </cell>
          <cell r="S51">
            <v>46536.11</v>
          </cell>
          <cell r="T51">
            <v>58500.37</v>
          </cell>
          <cell r="U51">
            <v>35849.259999999995</v>
          </cell>
          <cell r="V51">
            <v>29230.35</v>
          </cell>
          <cell r="W51">
            <v>43195.8</v>
          </cell>
          <cell r="X51">
            <v>22830.29</v>
          </cell>
          <cell r="Y51">
            <v>11097.48</v>
          </cell>
          <cell r="Z51">
            <v>94485.929999999978</v>
          </cell>
          <cell r="AA51">
            <v>-77852.020000000019</v>
          </cell>
          <cell r="AB51">
            <v>0</v>
          </cell>
          <cell r="AC51">
            <v>196776.06000000003</v>
          </cell>
          <cell r="AD51">
            <v>204212.85</v>
          </cell>
          <cell r="AE51">
            <v>204754.76</v>
          </cell>
          <cell r="AF51">
            <v>746481.04</v>
          </cell>
          <cell r="AG51">
            <v>1284764.04</v>
          </cell>
          <cell r="AH51">
            <v>1326653.54</v>
          </cell>
          <cell r="AI51">
            <v>1328653.54</v>
          </cell>
          <cell r="AJ51">
            <v>1346333.54</v>
          </cell>
          <cell r="AK51">
            <v>1366669.54</v>
          </cell>
          <cell r="AL51">
            <v>1439311.3900000001</v>
          </cell>
          <cell r="AM51">
            <v>1478722.1099999999</v>
          </cell>
          <cell r="AN51">
            <v>1589346.18</v>
          </cell>
          <cell r="AO51">
            <v>0</v>
          </cell>
          <cell r="AP51">
            <v>196776.06000000003</v>
          </cell>
          <cell r="AQ51">
            <v>7436.79</v>
          </cell>
          <cell r="AR51">
            <v>541.91</v>
          </cell>
          <cell r="AS51">
            <v>541726.28</v>
          </cell>
          <cell r="AT51">
            <v>538283</v>
          </cell>
          <cell r="AU51">
            <v>41889.5</v>
          </cell>
          <cell r="AV51">
            <v>2000</v>
          </cell>
          <cell r="AW51">
            <v>17680</v>
          </cell>
          <cell r="AX51">
            <v>20336</v>
          </cell>
          <cell r="AY51">
            <v>72641.850000000006</v>
          </cell>
          <cell r="AZ51">
            <v>39410.720000000001</v>
          </cell>
          <cell r="BA51">
            <v>110624.07</v>
          </cell>
          <cell r="BB51">
            <v>0</v>
          </cell>
          <cell r="BC51">
            <v>16877.75</v>
          </cell>
          <cell r="BD51">
            <v>32168.14</v>
          </cell>
          <cell r="BE51">
            <v>62014.36</v>
          </cell>
          <cell r="BF51">
            <v>108550.47</v>
          </cell>
          <cell r="BG51">
            <v>167050.84000000003</v>
          </cell>
          <cell r="BH51">
            <v>202900.1</v>
          </cell>
          <cell r="BI51">
            <v>232130.45</v>
          </cell>
          <cell r="BJ51">
            <v>275326.25</v>
          </cell>
          <cell r="BK51">
            <v>298156.54000000004</v>
          </cell>
          <cell r="BL51">
            <v>309254.02</v>
          </cell>
          <cell r="BM51">
            <v>403739.94999999995</v>
          </cell>
          <cell r="BN51">
            <v>325887.93</v>
          </cell>
          <cell r="BO51">
            <v>0</v>
          </cell>
          <cell r="BP51">
            <v>16877.75</v>
          </cell>
          <cell r="BQ51">
            <v>15290.390000000001</v>
          </cell>
          <cell r="BR51">
            <v>29846.22</v>
          </cell>
          <cell r="BS51">
            <v>46536.11</v>
          </cell>
          <cell r="BT51">
            <v>58500.37</v>
          </cell>
          <cell r="BU51">
            <v>35849.259999999995</v>
          </cell>
          <cell r="BV51">
            <v>29230.35</v>
          </cell>
          <cell r="BW51">
            <v>43195.8</v>
          </cell>
          <cell r="BX51">
            <v>22830.29</v>
          </cell>
          <cell r="BY51">
            <v>11097.48</v>
          </cell>
          <cell r="BZ51">
            <v>94485.929999999978</v>
          </cell>
          <cell r="CA51">
            <v>-77852.020000000019</v>
          </cell>
        </row>
        <row r="52">
          <cell r="A52">
            <v>5150</v>
          </cell>
          <cell r="B52" t="str">
            <v>Rezervy a odpisy pohledávek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0.18000000000000002</v>
          </cell>
          <cell r="J52">
            <v>0.2</v>
          </cell>
          <cell r="K52">
            <v>1763005.1</v>
          </cell>
          <cell r="L52">
            <v>1763005.1</v>
          </cell>
          <cell r="M52">
            <v>1763005.1</v>
          </cell>
          <cell r="N52">
            <v>1759595.86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0.18000000000000002</v>
          </cell>
          <cell r="W52">
            <v>2.0000000000000004E-2</v>
          </cell>
          <cell r="X52">
            <v>1763004.9000000001</v>
          </cell>
          <cell r="Y52">
            <v>0</v>
          </cell>
          <cell r="Z52">
            <v>0</v>
          </cell>
          <cell r="AA52">
            <v>-3409.2399999999907</v>
          </cell>
          <cell r="AB52">
            <v>0</v>
          </cell>
          <cell r="AC52">
            <v>0</v>
          </cell>
          <cell r="AD52">
            <v>8.0000000000000016E-2</v>
          </cell>
          <cell r="AE52">
            <v>8.0000000000000016E-2</v>
          </cell>
          <cell r="AF52">
            <v>0.58000000000000007</v>
          </cell>
          <cell r="AG52">
            <v>0.58000000000000007</v>
          </cell>
          <cell r="AH52">
            <v>0.8</v>
          </cell>
          <cell r="AI52">
            <v>0.8</v>
          </cell>
          <cell r="AJ52">
            <v>0.8</v>
          </cell>
          <cell r="AK52">
            <v>0.8</v>
          </cell>
          <cell r="AL52">
            <v>0.89000000000000012</v>
          </cell>
          <cell r="AM52">
            <v>0.89000000000000012</v>
          </cell>
          <cell r="AN52">
            <v>2397044.5099999998</v>
          </cell>
          <cell r="AO52">
            <v>0</v>
          </cell>
          <cell r="AP52">
            <v>0</v>
          </cell>
          <cell r="AQ52">
            <v>8.0000000000000016E-2</v>
          </cell>
          <cell r="AR52">
            <v>0</v>
          </cell>
          <cell r="AS52">
            <v>0.5</v>
          </cell>
          <cell r="AT52">
            <v>0</v>
          </cell>
          <cell r="AU52">
            <v>0.22000000000000003</v>
          </cell>
          <cell r="AV52">
            <v>0</v>
          </cell>
          <cell r="AW52">
            <v>0</v>
          </cell>
          <cell r="AX52">
            <v>0</v>
          </cell>
          <cell r="AY52">
            <v>9.0000000000000024E-2</v>
          </cell>
          <cell r="AZ52">
            <v>0</v>
          </cell>
          <cell r="BA52">
            <v>2397043.62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0.18000000000000002</v>
          </cell>
          <cell r="BJ52">
            <v>0.2</v>
          </cell>
          <cell r="BK52">
            <v>1763005.1</v>
          </cell>
          <cell r="BL52">
            <v>1763005.1</v>
          </cell>
          <cell r="BM52">
            <v>1763005.1</v>
          </cell>
          <cell r="BN52">
            <v>1759595.86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0.18000000000000002</v>
          </cell>
          <cell r="BW52">
            <v>2.0000000000000004E-2</v>
          </cell>
          <cell r="BX52">
            <v>1763004.9000000001</v>
          </cell>
          <cell r="BY52">
            <v>0</v>
          </cell>
          <cell r="BZ52">
            <v>0</v>
          </cell>
          <cell r="CA52">
            <v>-3409.2399999999907</v>
          </cell>
        </row>
        <row r="53">
          <cell r="A53">
            <v>5210</v>
          </cell>
          <cell r="B53" t="str">
            <v>Mzdové náklady - režie</v>
          </cell>
          <cell r="C53">
            <v>197920</v>
          </cell>
          <cell r="D53">
            <v>394378</v>
          </cell>
          <cell r="E53">
            <v>580847</v>
          </cell>
          <cell r="F53">
            <v>756217</v>
          </cell>
          <cell r="G53">
            <v>949432</v>
          </cell>
          <cell r="H53">
            <v>1132131</v>
          </cell>
          <cell r="I53">
            <v>6410754</v>
          </cell>
          <cell r="J53">
            <v>7340470</v>
          </cell>
          <cell r="K53">
            <v>8229611</v>
          </cell>
          <cell r="L53">
            <v>9082943</v>
          </cell>
          <cell r="M53">
            <v>10007134</v>
          </cell>
          <cell r="N53">
            <v>11496103</v>
          </cell>
          <cell r="O53">
            <v>0</v>
          </cell>
          <cell r="P53">
            <v>197920</v>
          </cell>
          <cell r="Q53">
            <v>196458</v>
          </cell>
          <cell r="R53">
            <v>186469</v>
          </cell>
          <cell r="S53">
            <v>175370</v>
          </cell>
          <cell r="T53">
            <v>193215</v>
          </cell>
          <cell r="U53">
            <v>182699</v>
          </cell>
          <cell r="V53">
            <v>5278623</v>
          </cell>
          <cell r="W53">
            <v>929716</v>
          </cell>
          <cell r="X53">
            <v>889141</v>
          </cell>
          <cell r="Y53">
            <v>853332</v>
          </cell>
          <cell r="Z53">
            <v>924191</v>
          </cell>
          <cell r="AA53">
            <v>1488969</v>
          </cell>
          <cell r="AB53">
            <v>0</v>
          </cell>
          <cell r="AC53">
            <v>208000</v>
          </cell>
          <cell r="AD53">
            <v>423000</v>
          </cell>
          <cell r="AE53">
            <v>638531</v>
          </cell>
          <cell r="AF53">
            <v>862667</v>
          </cell>
          <cell r="AG53">
            <v>1077667</v>
          </cell>
          <cell r="AH53">
            <v>1293063</v>
          </cell>
          <cell r="AI53">
            <v>1508063</v>
          </cell>
          <cell r="AJ53">
            <v>1724084</v>
          </cell>
          <cell r="AK53">
            <v>1939369</v>
          </cell>
          <cell r="AL53">
            <v>2159162</v>
          </cell>
          <cell r="AM53">
            <v>2374201</v>
          </cell>
          <cell r="AN53">
            <v>2597974</v>
          </cell>
          <cell r="AO53">
            <v>0</v>
          </cell>
          <cell r="AP53">
            <v>208000</v>
          </cell>
          <cell r="AQ53">
            <v>215000</v>
          </cell>
          <cell r="AR53">
            <v>215531</v>
          </cell>
          <cell r="AS53">
            <v>224136</v>
          </cell>
          <cell r="AT53">
            <v>215000</v>
          </cell>
          <cell r="AU53">
            <v>215396</v>
          </cell>
          <cell r="AV53">
            <v>215000</v>
          </cell>
          <cell r="AW53">
            <v>216021</v>
          </cell>
          <cell r="AX53">
            <v>215285</v>
          </cell>
          <cell r="AY53">
            <v>219793</v>
          </cell>
          <cell r="AZ53">
            <v>215039</v>
          </cell>
          <cell r="BA53">
            <v>223773</v>
          </cell>
          <cell r="BB53">
            <v>0</v>
          </cell>
          <cell r="BC53">
            <v>197920</v>
          </cell>
          <cell r="BD53">
            <v>394378</v>
          </cell>
          <cell r="BE53">
            <v>580847</v>
          </cell>
          <cell r="BF53">
            <v>756217</v>
          </cell>
          <cell r="BG53">
            <v>949432</v>
          </cell>
          <cell r="BH53">
            <v>1132131</v>
          </cell>
          <cell r="BI53">
            <v>6410754</v>
          </cell>
          <cell r="BJ53">
            <v>7340470</v>
          </cell>
          <cell r="BK53">
            <v>8229611</v>
          </cell>
          <cell r="BL53">
            <v>9082943</v>
          </cell>
          <cell r="BM53">
            <v>10007134</v>
          </cell>
          <cell r="BN53">
            <v>11496103</v>
          </cell>
          <cell r="BO53">
            <v>0</v>
          </cell>
          <cell r="BP53">
            <v>197920</v>
          </cell>
          <cell r="BQ53">
            <v>196458</v>
          </cell>
          <cell r="BR53">
            <v>186469</v>
          </cell>
          <cell r="BS53">
            <v>175370</v>
          </cell>
          <cell r="BT53">
            <v>193215</v>
          </cell>
          <cell r="BU53">
            <v>182699</v>
          </cell>
          <cell r="BV53">
            <v>5278623</v>
          </cell>
          <cell r="BW53">
            <v>929716</v>
          </cell>
          <cell r="BX53">
            <v>889141</v>
          </cell>
          <cell r="BY53">
            <v>853332</v>
          </cell>
          <cell r="BZ53">
            <v>924191</v>
          </cell>
          <cell r="CA53">
            <v>1488969</v>
          </cell>
        </row>
        <row r="54">
          <cell r="A54">
            <v>5220</v>
          </cell>
          <cell r="B54" t="str">
            <v>Školení</v>
          </cell>
          <cell r="C54">
            <v>1260</v>
          </cell>
          <cell r="D54">
            <v>6160</v>
          </cell>
          <cell r="E54">
            <v>12880</v>
          </cell>
          <cell r="F54">
            <v>57480</v>
          </cell>
          <cell r="G54">
            <v>57480</v>
          </cell>
          <cell r="H54">
            <v>73680</v>
          </cell>
          <cell r="I54">
            <v>74940</v>
          </cell>
          <cell r="J54">
            <v>85340</v>
          </cell>
          <cell r="K54">
            <v>99040</v>
          </cell>
          <cell r="L54">
            <v>100300</v>
          </cell>
          <cell r="M54">
            <v>154700</v>
          </cell>
          <cell r="N54">
            <v>174100</v>
          </cell>
          <cell r="O54">
            <v>0</v>
          </cell>
          <cell r="P54">
            <v>1260</v>
          </cell>
          <cell r="Q54">
            <v>4900</v>
          </cell>
          <cell r="R54">
            <v>6720</v>
          </cell>
          <cell r="S54">
            <v>44600</v>
          </cell>
          <cell r="T54">
            <v>0</v>
          </cell>
          <cell r="U54">
            <v>16200</v>
          </cell>
          <cell r="V54">
            <v>1260</v>
          </cell>
          <cell r="W54">
            <v>10400</v>
          </cell>
          <cell r="X54">
            <v>13700</v>
          </cell>
          <cell r="Y54">
            <v>1260</v>
          </cell>
          <cell r="Z54">
            <v>54400</v>
          </cell>
          <cell r="AA54">
            <v>19400</v>
          </cell>
          <cell r="AC54">
            <v>4943.2699999999995</v>
          </cell>
          <cell r="AD54">
            <v>26978.210000000003</v>
          </cell>
          <cell r="AE54">
            <v>35828.210000000006</v>
          </cell>
          <cell r="AF54">
            <v>35828.210000000006</v>
          </cell>
          <cell r="AG54">
            <v>54928.210000000006</v>
          </cell>
          <cell r="AH54">
            <v>60928.210000000006</v>
          </cell>
          <cell r="AI54">
            <v>76587.920000000013</v>
          </cell>
          <cell r="AJ54">
            <v>76587.920000000013</v>
          </cell>
          <cell r="AK54">
            <v>77827.920000000013</v>
          </cell>
          <cell r="AL54">
            <v>100977.92000000001</v>
          </cell>
          <cell r="AM54">
            <v>100977.92000000001</v>
          </cell>
          <cell r="AN54">
            <v>129877.92000000001</v>
          </cell>
          <cell r="AO54">
            <v>0</v>
          </cell>
          <cell r="AP54">
            <v>4943.2699999999995</v>
          </cell>
          <cell r="AQ54">
            <v>22034.940000000002</v>
          </cell>
          <cell r="AR54">
            <v>8850</v>
          </cell>
          <cell r="AS54">
            <v>0</v>
          </cell>
          <cell r="AT54">
            <v>19100</v>
          </cell>
          <cell r="AU54">
            <v>6000</v>
          </cell>
          <cell r="AV54">
            <v>15659.710000000001</v>
          </cell>
          <cell r="AW54">
            <v>0</v>
          </cell>
          <cell r="AX54">
            <v>1240</v>
          </cell>
          <cell r="AY54">
            <v>23150</v>
          </cell>
          <cell r="AZ54">
            <v>0</v>
          </cell>
          <cell r="BA54">
            <v>28900</v>
          </cell>
          <cell r="BC54">
            <v>1260</v>
          </cell>
          <cell r="BD54">
            <v>6160</v>
          </cell>
          <cell r="BE54">
            <v>12880</v>
          </cell>
          <cell r="BF54">
            <v>57480</v>
          </cell>
          <cell r="BG54">
            <v>57480</v>
          </cell>
          <cell r="BH54">
            <v>73680</v>
          </cell>
          <cell r="BI54">
            <v>74940</v>
          </cell>
          <cell r="BJ54">
            <v>85340</v>
          </cell>
          <cell r="BK54">
            <v>99040</v>
          </cell>
          <cell r="BL54">
            <v>100300</v>
          </cell>
          <cell r="BM54">
            <v>154700</v>
          </cell>
          <cell r="BN54">
            <v>174100</v>
          </cell>
          <cell r="BO54">
            <v>0</v>
          </cell>
          <cell r="BP54">
            <v>1260</v>
          </cell>
          <cell r="BQ54">
            <v>4900</v>
          </cell>
          <cell r="BR54">
            <v>6720</v>
          </cell>
          <cell r="BS54">
            <v>44600</v>
          </cell>
          <cell r="BT54">
            <v>0</v>
          </cell>
          <cell r="BU54">
            <v>16200</v>
          </cell>
          <cell r="BV54">
            <v>1260</v>
          </cell>
          <cell r="BW54">
            <v>10400</v>
          </cell>
          <cell r="BX54">
            <v>13700</v>
          </cell>
          <cell r="BY54">
            <v>1260</v>
          </cell>
          <cell r="BZ54">
            <v>54400</v>
          </cell>
          <cell r="CA54">
            <v>19400</v>
          </cell>
        </row>
        <row r="55">
          <cell r="A55">
            <v>5230</v>
          </cell>
          <cell r="B55" t="str">
            <v>Cestovné a pohoštění</v>
          </cell>
          <cell r="C55">
            <v>22818.82</v>
          </cell>
          <cell r="D55">
            <v>38266.800000000003</v>
          </cell>
          <cell r="E55">
            <v>61872.950000000004</v>
          </cell>
          <cell r="F55">
            <v>87652.159999999989</v>
          </cell>
          <cell r="G55">
            <v>135373.61000000002</v>
          </cell>
          <cell r="H55">
            <v>147815.4</v>
          </cell>
          <cell r="I55">
            <v>179965.67</v>
          </cell>
          <cell r="J55">
            <v>269222.33</v>
          </cell>
          <cell r="K55">
            <v>340740.73</v>
          </cell>
          <cell r="L55">
            <v>385578.69000000006</v>
          </cell>
          <cell r="M55">
            <v>432425.72000000003</v>
          </cell>
          <cell r="N55">
            <v>506216.74000000005</v>
          </cell>
          <cell r="O55">
            <v>0</v>
          </cell>
          <cell r="P55">
            <v>22818.82</v>
          </cell>
          <cell r="Q55">
            <v>15447.98</v>
          </cell>
          <cell r="R55">
            <v>23606.149999999998</v>
          </cell>
          <cell r="S55">
            <v>25779.210000000003</v>
          </cell>
          <cell r="T55">
            <v>47721.450000000004</v>
          </cell>
          <cell r="U55">
            <v>12441.79</v>
          </cell>
          <cell r="V55">
            <v>32150.27</v>
          </cell>
          <cell r="W55">
            <v>89256.66</v>
          </cell>
          <cell r="X55">
            <v>71518.400000000009</v>
          </cell>
          <cell r="Y55">
            <v>44837.96</v>
          </cell>
          <cell r="Z55">
            <v>46847.030000000006</v>
          </cell>
          <cell r="AA55">
            <v>73791.02</v>
          </cell>
          <cell r="AC55">
            <v>7011.01</v>
          </cell>
          <cell r="AD55">
            <v>20966.75</v>
          </cell>
          <cell r="AE55">
            <v>41917.06</v>
          </cell>
          <cell r="AF55">
            <v>52777.89</v>
          </cell>
          <cell r="AG55">
            <v>99675.75</v>
          </cell>
          <cell r="AH55">
            <v>129036.77000000002</v>
          </cell>
          <cell r="AI55">
            <v>143621.33000000002</v>
          </cell>
          <cell r="AJ55">
            <v>283541.02999999997</v>
          </cell>
          <cell r="AK55">
            <v>317524.68</v>
          </cell>
          <cell r="AL55">
            <v>351175.72000000003</v>
          </cell>
          <cell r="AM55">
            <v>431907.05</v>
          </cell>
          <cell r="AN55">
            <v>516104.81</v>
          </cell>
          <cell r="AO55">
            <v>0</v>
          </cell>
          <cell r="AP55">
            <v>7011.01</v>
          </cell>
          <cell r="AQ55">
            <v>13955.74</v>
          </cell>
          <cell r="AR55">
            <v>20950.309999999998</v>
          </cell>
          <cell r="AS55">
            <v>10860.83</v>
          </cell>
          <cell r="AT55">
            <v>46897.86</v>
          </cell>
          <cell r="AU55">
            <v>29361.02</v>
          </cell>
          <cell r="AV55">
            <v>14584.560000000001</v>
          </cell>
          <cell r="AW55">
            <v>139919.69999999998</v>
          </cell>
          <cell r="AX55">
            <v>33983.65</v>
          </cell>
          <cell r="AY55">
            <v>33651.040000000001</v>
          </cell>
          <cell r="AZ55">
            <v>80731.330000000016</v>
          </cell>
          <cell r="BA55">
            <v>84197.760000000009</v>
          </cell>
          <cell r="BC55">
            <v>22818.82</v>
          </cell>
          <cell r="BD55">
            <v>38266.800000000003</v>
          </cell>
          <cell r="BE55">
            <v>61872.950000000004</v>
          </cell>
          <cell r="BF55">
            <v>87652.159999999989</v>
          </cell>
          <cell r="BG55">
            <v>135373.61000000002</v>
          </cell>
          <cell r="BH55">
            <v>147815.4</v>
          </cell>
          <cell r="BI55">
            <v>179965.67</v>
          </cell>
          <cell r="BJ55">
            <v>269222.33</v>
          </cell>
          <cell r="BK55">
            <v>340740.73</v>
          </cell>
          <cell r="BL55">
            <v>385578.69000000006</v>
          </cell>
          <cell r="BM55">
            <v>432425.72000000003</v>
          </cell>
          <cell r="BN55">
            <v>506216.74000000005</v>
          </cell>
          <cell r="BO55">
            <v>0</v>
          </cell>
          <cell r="BP55">
            <v>22818.82</v>
          </cell>
          <cell r="BQ55">
            <v>15447.98</v>
          </cell>
          <cell r="BR55">
            <v>23606.149999999998</v>
          </cell>
          <cell r="BS55">
            <v>25779.210000000003</v>
          </cell>
          <cell r="BT55">
            <v>47721.450000000004</v>
          </cell>
          <cell r="BU55">
            <v>12441.79</v>
          </cell>
          <cell r="BV55">
            <v>32150.27</v>
          </cell>
          <cell r="BW55">
            <v>89256.66</v>
          </cell>
          <cell r="BX55">
            <v>71518.400000000009</v>
          </cell>
          <cell r="BY55">
            <v>44837.96</v>
          </cell>
          <cell r="BZ55">
            <v>46847.030000000006</v>
          </cell>
          <cell r="CA55">
            <v>73791.02</v>
          </cell>
        </row>
        <row r="56">
          <cell r="A56">
            <v>5240</v>
          </cell>
          <cell r="B56" t="str">
            <v>Firemní vozy</v>
          </cell>
          <cell r="C56">
            <v>32535.170000000002</v>
          </cell>
          <cell r="D56">
            <v>104813.95</v>
          </cell>
          <cell r="E56">
            <v>177394.62000000002</v>
          </cell>
          <cell r="F56">
            <v>307734.78000000003</v>
          </cell>
          <cell r="G56">
            <v>416576</v>
          </cell>
          <cell r="H56">
            <v>546594</v>
          </cell>
          <cell r="I56">
            <v>620027.9</v>
          </cell>
          <cell r="J56">
            <v>724279.31</v>
          </cell>
          <cell r="K56">
            <v>883095.59000000008</v>
          </cell>
          <cell r="L56">
            <v>985952.81</v>
          </cell>
          <cell r="M56">
            <v>1076568.1400000001</v>
          </cell>
          <cell r="N56">
            <v>1201574</v>
          </cell>
          <cell r="O56">
            <v>0</v>
          </cell>
          <cell r="P56">
            <v>32535.170000000002</v>
          </cell>
          <cell r="Q56">
            <v>72278.78</v>
          </cell>
          <cell r="R56">
            <v>72580.670000000013</v>
          </cell>
          <cell r="S56">
            <v>130340.16</v>
          </cell>
          <cell r="T56">
            <v>108841.22</v>
          </cell>
          <cell r="U56">
            <v>130018</v>
          </cell>
          <cell r="V56">
            <v>73433.899999999994</v>
          </cell>
          <cell r="W56">
            <v>104251.41</v>
          </cell>
          <cell r="X56">
            <v>158816.28</v>
          </cell>
          <cell r="Y56">
            <v>102857.22</v>
          </cell>
          <cell r="Z56">
            <v>90615.33</v>
          </cell>
          <cell r="AA56">
            <v>125005.86000000002</v>
          </cell>
          <cell r="AC56">
            <v>29941.090000000004</v>
          </cell>
          <cell r="AD56">
            <v>109006.05</v>
          </cell>
          <cell r="AE56">
            <v>170999.12999999998</v>
          </cell>
          <cell r="AF56">
            <v>265318.51</v>
          </cell>
          <cell r="AG56">
            <v>340974.69999999995</v>
          </cell>
          <cell r="AH56">
            <v>487838.1</v>
          </cell>
          <cell r="AI56">
            <v>560875.23</v>
          </cell>
          <cell r="AJ56">
            <v>628650.11999999988</v>
          </cell>
          <cell r="AK56">
            <v>735619.29999999993</v>
          </cell>
          <cell r="AL56">
            <v>834632.11999999988</v>
          </cell>
          <cell r="AM56">
            <v>917184.5199999999</v>
          </cell>
          <cell r="AN56">
            <v>1130939.4100000001</v>
          </cell>
          <cell r="AO56">
            <v>0</v>
          </cell>
          <cell r="AP56">
            <v>29941.090000000004</v>
          </cell>
          <cell r="AQ56">
            <v>79064.959999999992</v>
          </cell>
          <cell r="AR56">
            <v>61993.08</v>
          </cell>
          <cell r="AS56">
            <v>94319.38</v>
          </cell>
          <cell r="AT56">
            <v>75656.19</v>
          </cell>
          <cell r="AU56">
            <v>146863.4</v>
          </cell>
          <cell r="AV56">
            <v>73037.13</v>
          </cell>
          <cell r="AW56">
            <v>67774.89</v>
          </cell>
          <cell r="AX56">
            <v>106969.18</v>
          </cell>
          <cell r="AY56">
            <v>99012.82</v>
          </cell>
          <cell r="AZ56">
            <v>82552.399999999994</v>
          </cell>
          <cell r="BA56">
            <v>213754.89</v>
          </cell>
          <cell r="BC56">
            <v>32535.170000000002</v>
          </cell>
          <cell r="BD56">
            <v>104813.95</v>
          </cell>
          <cell r="BE56">
            <v>177394.62000000002</v>
          </cell>
          <cell r="BF56">
            <v>307734.78000000003</v>
          </cell>
          <cell r="BG56">
            <v>416576</v>
          </cell>
          <cell r="BH56">
            <v>546594</v>
          </cell>
          <cell r="BI56">
            <v>620027.9</v>
          </cell>
          <cell r="BJ56">
            <v>724279.31</v>
          </cell>
          <cell r="BK56">
            <v>883095.59000000008</v>
          </cell>
          <cell r="BL56">
            <v>985952.81</v>
          </cell>
          <cell r="BM56">
            <v>1076568.1400000001</v>
          </cell>
          <cell r="BN56">
            <v>1201574</v>
          </cell>
          <cell r="BO56">
            <v>0</v>
          </cell>
          <cell r="BP56">
            <v>32535.170000000002</v>
          </cell>
          <cell r="BQ56">
            <v>72278.78</v>
          </cell>
          <cell r="BR56">
            <v>72580.670000000013</v>
          </cell>
          <cell r="BS56">
            <v>130340.16</v>
          </cell>
          <cell r="BT56">
            <v>108841.22</v>
          </cell>
          <cell r="BU56">
            <v>130018</v>
          </cell>
          <cell r="BV56">
            <v>73433.899999999994</v>
          </cell>
          <cell r="BW56">
            <v>104251.41</v>
          </cell>
          <cell r="BX56">
            <v>158816.28</v>
          </cell>
          <cell r="BY56">
            <v>102857.22</v>
          </cell>
          <cell r="BZ56">
            <v>90615.33</v>
          </cell>
          <cell r="CA56">
            <v>125005.86000000002</v>
          </cell>
        </row>
        <row r="57">
          <cell r="A57">
            <v>5300</v>
          </cell>
          <cell r="B57" t="str">
            <v>Odborné služby</v>
          </cell>
          <cell r="C57">
            <v>2326.8500000000004</v>
          </cell>
          <cell r="D57">
            <v>130428.53000000001</v>
          </cell>
          <cell r="E57">
            <v>133255.37000000002</v>
          </cell>
          <cell r="F57">
            <v>201507.16000000003</v>
          </cell>
          <cell r="G57">
            <v>265889.26</v>
          </cell>
          <cell r="H57">
            <v>327560.95</v>
          </cell>
          <cell r="I57">
            <v>440562.32</v>
          </cell>
          <cell r="J57">
            <v>901083.69</v>
          </cell>
          <cell r="K57">
            <v>1419828.27</v>
          </cell>
          <cell r="L57">
            <v>1833080.38</v>
          </cell>
          <cell r="M57">
            <v>2452619.7199999997</v>
          </cell>
          <cell r="N57">
            <v>2950765.78</v>
          </cell>
          <cell r="O57">
            <v>0</v>
          </cell>
          <cell r="P57">
            <v>2326.8500000000004</v>
          </cell>
          <cell r="Q57">
            <v>128101.68000000001</v>
          </cell>
          <cell r="R57">
            <v>2826.84</v>
          </cell>
          <cell r="S57">
            <v>68251.789999999994</v>
          </cell>
          <cell r="T57">
            <v>64382.1</v>
          </cell>
          <cell r="U57">
            <v>61671.689999999995</v>
          </cell>
          <cell r="V57">
            <v>113001.37000000001</v>
          </cell>
          <cell r="W57">
            <v>460521.37</v>
          </cell>
          <cell r="X57">
            <v>518744.58</v>
          </cell>
          <cell r="Y57">
            <v>413252.11</v>
          </cell>
          <cell r="Z57">
            <v>619539.34</v>
          </cell>
          <cell r="AA57">
            <v>498146.06</v>
          </cell>
          <cell r="AC57">
            <v>86000</v>
          </cell>
          <cell r="AD57">
            <v>86000</v>
          </cell>
          <cell r="AE57">
            <v>126000</v>
          </cell>
          <cell r="AF57">
            <v>169500</v>
          </cell>
          <cell r="AG57">
            <v>209500</v>
          </cell>
          <cell r="AH57">
            <v>255500</v>
          </cell>
          <cell r="AI57">
            <v>305535</v>
          </cell>
          <cell r="AJ57">
            <v>345535</v>
          </cell>
          <cell r="AK57">
            <v>391535</v>
          </cell>
          <cell r="AL57">
            <v>432559.86</v>
          </cell>
          <cell r="AM57">
            <v>478559.86</v>
          </cell>
          <cell r="AN57">
            <v>558559.86</v>
          </cell>
          <cell r="AO57">
            <v>0</v>
          </cell>
          <cell r="AP57">
            <v>86000</v>
          </cell>
          <cell r="AQ57">
            <v>0</v>
          </cell>
          <cell r="AR57">
            <v>40000</v>
          </cell>
          <cell r="AS57">
            <v>43500</v>
          </cell>
          <cell r="AT57">
            <v>40000</v>
          </cell>
          <cell r="AU57">
            <v>46000</v>
          </cell>
          <cell r="AV57">
            <v>50035</v>
          </cell>
          <cell r="AW57">
            <v>40000</v>
          </cell>
          <cell r="AX57">
            <v>46000</v>
          </cell>
          <cell r="AY57">
            <v>41024.86</v>
          </cell>
          <cell r="AZ57">
            <v>46000</v>
          </cell>
          <cell r="BA57">
            <v>80000</v>
          </cell>
          <cell r="BC57">
            <v>2326.8500000000004</v>
          </cell>
          <cell r="BD57">
            <v>130428.53000000001</v>
          </cell>
          <cell r="BE57">
            <v>133255.37000000002</v>
          </cell>
          <cell r="BF57">
            <v>201507.16000000003</v>
          </cell>
          <cell r="BG57">
            <v>265889.26</v>
          </cell>
          <cell r="BH57">
            <v>327560.95</v>
          </cell>
          <cell r="BI57">
            <v>440562.32</v>
          </cell>
          <cell r="BJ57">
            <v>901083.69</v>
          </cell>
          <cell r="BK57">
            <v>1419828.27</v>
          </cell>
          <cell r="BL57">
            <v>1833080.38</v>
          </cell>
          <cell r="BM57">
            <v>2452619.7199999997</v>
          </cell>
          <cell r="BN57">
            <v>2950765.78</v>
          </cell>
          <cell r="BO57">
            <v>0</v>
          </cell>
          <cell r="BP57">
            <v>2326.8500000000004</v>
          </cell>
          <cell r="BQ57">
            <v>128101.68000000001</v>
          </cell>
          <cell r="BR57">
            <v>2826.84</v>
          </cell>
          <cell r="BS57">
            <v>68251.789999999994</v>
          </cell>
          <cell r="BT57">
            <v>64382.1</v>
          </cell>
          <cell r="BU57">
            <v>61671.689999999995</v>
          </cell>
          <cell r="BV57">
            <v>113001.37000000001</v>
          </cell>
          <cell r="BW57">
            <v>460521.37</v>
          </cell>
          <cell r="BX57">
            <v>518744.58</v>
          </cell>
          <cell r="BY57">
            <v>413252.11</v>
          </cell>
          <cell r="BZ57">
            <v>619539.34</v>
          </cell>
          <cell r="CA57">
            <v>498146.06</v>
          </cell>
        </row>
        <row r="58">
          <cell r="A58">
            <v>5400</v>
          </cell>
          <cell r="B58" t="str">
            <v>IT</v>
          </cell>
          <cell r="C58">
            <v>52060.289999999994</v>
          </cell>
          <cell r="D58">
            <v>76670.720000000001</v>
          </cell>
          <cell r="E58">
            <v>136645.93</v>
          </cell>
          <cell r="F58">
            <v>164532.47999999998</v>
          </cell>
          <cell r="G58">
            <v>268104.77</v>
          </cell>
          <cell r="H58">
            <v>300110.18</v>
          </cell>
          <cell r="I58">
            <v>358632.20999999996</v>
          </cell>
          <cell r="J58">
            <v>386078.98</v>
          </cell>
          <cell r="K58">
            <v>418040.98</v>
          </cell>
          <cell r="L58">
            <v>462889.99</v>
          </cell>
          <cell r="M58">
            <v>605076.89999999991</v>
          </cell>
          <cell r="N58">
            <v>675872.11</v>
          </cell>
          <cell r="O58">
            <v>0</v>
          </cell>
          <cell r="P58">
            <v>52060.289999999994</v>
          </cell>
          <cell r="Q58">
            <v>24610.43</v>
          </cell>
          <cell r="R58">
            <v>59975.21</v>
          </cell>
          <cell r="S58">
            <v>27886.550000000003</v>
          </cell>
          <cell r="T58">
            <v>103572.29</v>
          </cell>
          <cell r="U58">
            <v>32005.409999999996</v>
          </cell>
          <cell r="V58">
            <v>58522.03</v>
          </cell>
          <cell r="W58">
            <v>27446.77</v>
          </cell>
          <cell r="X58">
            <v>31962</v>
          </cell>
          <cell r="Y58">
            <v>44849.01</v>
          </cell>
          <cell r="Z58">
            <v>142186.91</v>
          </cell>
          <cell r="AA58">
            <v>70795.209999999992</v>
          </cell>
          <cell r="AB58">
            <v>0</v>
          </cell>
          <cell r="AC58">
            <v>53559.19</v>
          </cell>
          <cell r="AD58">
            <v>117658.45</v>
          </cell>
          <cell r="AE58">
            <v>132145.52000000002</v>
          </cell>
          <cell r="AF58">
            <v>148934.20000000001</v>
          </cell>
          <cell r="AG58">
            <v>172127.92</v>
          </cell>
          <cell r="AH58">
            <v>193405.57</v>
          </cell>
          <cell r="AI58">
            <v>211727.15000000002</v>
          </cell>
          <cell r="AJ58">
            <v>251235.60000000003</v>
          </cell>
          <cell r="AK58">
            <v>278559.82</v>
          </cell>
          <cell r="AL58">
            <v>293313.09000000003</v>
          </cell>
          <cell r="AM58">
            <v>335327.86000000004</v>
          </cell>
          <cell r="AN58">
            <v>355281.17000000004</v>
          </cell>
          <cell r="AO58">
            <v>0</v>
          </cell>
          <cell r="AP58">
            <v>53559.19</v>
          </cell>
          <cell r="AQ58">
            <v>64099.26</v>
          </cell>
          <cell r="AR58">
            <v>14487.07</v>
          </cell>
          <cell r="AS58">
            <v>16788.68</v>
          </cell>
          <cell r="AT58">
            <v>23193.72</v>
          </cell>
          <cell r="AU58">
            <v>21277.65</v>
          </cell>
          <cell r="AV58">
            <v>18321.580000000002</v>
          </cell>
          <cell r="AW58">
            <v>39508.449999999997</v>
          </cell>
          <cell r="AX58">
            <v>27324.22</v>
          </cell>
          <cell r="AY58">
            <v>14753.27</v>
          </cell>
          <cell r="AZ58">
            <v>42014.770000000004</v>
          </cell>
          <cell r="BA58">
            <v>19953.309999999998</v>
          </cell>
          <cell r="BB58">
            <v>0</v>
          </cell>
          <cell r="BC58">
            <v>52060.289999999994</v>
          </cell>
          <cell r="BD58">
            <v>76670.720000000001</v>
          </cell>
          <cell r="BE58">
            <v>136645.93</v>
          </cell>
          <cell r="BF58">
            <v>164532.47999999998</v>
          </cell>
          <cell r="BG58">
            <v>268104.77</v>
          </cell>
          <cell r="BH58">
            <v>300110.18</v>
          </cell>
          <cell r="BI58">
            <v>358632.20999999996</v>
          </cell>
          <cell r="BJ58">
            <v>386078.98</v>
          </cell>
          <cell r="BK58">
            <v>418040.98</v>
          </cell>
          <cell r="BL58">
            <v>462889.99</v>
          </cell>
          <cell r="BM58">
            <v>605076.89999999991</v>
          </cell>
          <cell r="BN58">
            <v>675872.11</v>
          </cell>
          <cell r="BO58">
            <v>0</v>
          </cell>
          <cell r="BP58">
            <v>52060.289999999994</v>
          </cell>
          <cell r="BQ58">
            <v>24610.43</v>
          </cell>
          <cell r="BR58">
            <v>59975.21</v>
          </cell>
          <cell r="BS58">
            <v>27886.550000000003</v>
          </cell>
          <cell r="BT58">
            <v>103572.29</v>
          </cell>
          <cell r="BU58">
            <v>32005.409999999996</v>
          </cell>
          <cell r="BV58">
            <v>58522.03</v>
          </cell>
          <cell r="BW58">
            <v>27446.77</v>
          </cell>
          <cell r="BX58">
            <v>31962</v>
          </cell>
          <cell r="BY58">
            <v>44849.01</v>
          </cell>
          <cell r="BZ58">
            <v>142186.91</v>
          </cell>
          <cell r="CA58">
            <v>70795.209999999992</v>
          </cell>
        </row>
        <row r="59">
          <cell r="A59">
            <v>5600</v>
          </cell>
          <cell r="B59" t="str">
            <v>Odpisy - režie</v>
          </cell>
          <cell r="C59">
            <v>40643</v>
          </cell>
          <cell r="D59">
            <v>81286</v>
          </cell>
          <cell r="E59">
            <v>121929</v>
          </cell>
          <cell r="F59">
            <v>174074</v>
          </cell>
          <cell r="G59">
            <v>226219</v>
          </cell>
          <cell r="H59">
            <v>278364</v>
          </cell>
          <cell r="I59">
            <v>330509</v>
          </cell>
          <cell r="J59">
            <v>382654</v>
          </cell>
          <cell r="K59">
            <v>434799</v>
          </cell>
          <cell r="L59">
            <v>486944</v>
          </cell>
          <cell r="M59">
            <v>539089</v>
          </cell>
          <cell r="N59">
            <v>591226</v>
          </cell>
          <cell r="O59">
            <v>0</v>
          </cell>
          <cell r="P59">
            <v>40643</v>
          </cell>
          <cell r="Q59">
            <v>40643</v>
          </cell>
          <cell r="R59">
            <v>40643</v>
          </cell>
          <cell r="S59">
            <v>52145</v>
          </cell>
          <cell r="T59">
            <v>52145</v>
          </cell>
          <cell r="U59">
            <v>52145</v>
          </cell>
          <cell r="V59">
            <v>52145</v>
          </cell>
          <cell r="W59">
            <v>52145</v>
          </cell>
          <cell r="X59">
            <v>52145</v>
          </cell>
          <cell r="Y59">
            <v>52145</v>
          </cell>
          <cell r="Z59">
            <v>52145</v>
          </cell>
          <cell r="AA59">
            <v>52137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40643</v>
          </cell>
          <cell r="BD59">
            <v>81286</v>
          </cell>
          <cell r="BE59">
            <v>121929</v>
          </cell>
          <cell r="BF59">
            <v>174074</v>
          </cell>
          <cell r="BG59">
            <v>226219</v>
          </cell>
          <cell r="BH59">
            <v>278364</v>
          </cell>
          <cell r="BI59">
            <v>330509</v>
          </cell>
          <cell r="BJ59">
            <v>382654</v>
          </cell>
          <cell r="BK59">
            <v>434799</v>
          </cell>
          <cell r="BL59">
            <v>486944</v>
          </cell>
          <cell r="BM59">
            <v>539089</v>
          </cell>
          <cell r="BN59">
            <v>591226</v>
          </cell>
          <cell r="BO59">
            <v>0</v>
          </cell>
          <cell r="BP59">
            <v>40643</v>
          </cell>
          <cell r="BQ59">
            <v>40643</v>
          </cell>
          <cell r="BR59">
            <v>40643</v>
          </cell>
          <cell r="BS59">
            <v>52145</v>
          </cell>
          <cell r="BT59">
            <v>52145</v>
          </cell>
          <cell r="BU59">
            <v>52145</v>
          </cell>
          <cell r="BV59">
            <v>52145</v>
          </cell>
          <cell r="BW59">
            <v>52145</v>
          </cell>
          <cell r="BX59">
            <v>52145</v>
          </cell>
          <cell r="BY59">
            <v>52145</v>
          </cell>
          <cell r="BZ59">
            <v>52145</v>
          </cell>
          <cell r="CA59">
            <v>52137</v>
          </cell>
        </row>
        <row r="60">
          <cell r="A60">
            <v>5800</v>
          </cell>
          <cell r="B60" t="str">
            <v>Ostatní správní náklady</v>
          </cell>
          <cell r="C60">
            <v>32352.73</v>
          </cell>
          <cell r="D60">
            <v>106063.63999999998</v>
          </cell>
          <cell r="E60">
            <v>175957.53000000003</v>
          </cell>
          <cell r="F60">
            <v>224853.11000000002</v>
          </cell>
          <cell r="G60">
            <v>273368.39999999997</v>
          </cell>
          <cell r="H60">
            <v>322729.15999999997</v>
          </cell>
          <cell r="I60">
            <v>355056.95</v>
          </cell>
          <cell r="J60">
            <v>392182.24</v>
          </cell>
          <cell r="K60">
            <v>535658.05000000005</v>
          </cell>
          <cell r="L60">
            <v>647922.71</v>
          </cell>
          <cell r="M60">
            <v>707303.84</v>
          </cell>
          <cell r="N60">
            <v>817913.67999999993</v>
          </cell>
          <cell r="O60">
            <v>0</v>
          </cell>
          <cell r="P60">
            <v>32352.73</v>
          </cell>
          <cell r="Q60">
            <v>73710.909999999989</v>
          </cell>
          <cell r="R60">
            <v>69893.890000000014</v>
          </cell>
          <cell r="S60">
            <v>48895.58</v>
          </cell>
          <cell r="T60">
            <v>48515.29</v>
          </cell>
          <cell r="U60">
            <v>49360.76</v>
          </cell>
          <cell r="V60">
            <v>32327.789999999997</v>
          </cell>
          <cell r="W60">
            <v>37125.29</v>
          </cell>
          <cell r="X60">
            <v>143475.80999999997</v>
          </cell>
          <cell r="Y60">
            <v>112264.66</v>
          </cell>
          <cell r="Z60">
            <v>59381.130000000005</v>
          </cell>
          <cell r="AA60">
            <v>110609.84000000001</v>
          </cell>
          <cell r="AC60">
            <v>67336.070000000007</v>
          </cell>
          <cell r="AD60">
            <v>124401.5</v>
          </cell>
          <cell r="AE60">
            <v>411938.91000000003</v>
          </cell>
          <cell r="AF60">
            <v>446061.53</v>
          </cell>
          <cell r="AG60">
            <v>503608.1100000001</v>
          </cell>
          <cell r="AH60">
            <v>570793.43999999994</v>
          </cell>
          <cell r="AI60">
            <v>594581.68000000005</v>
          </cell>
          <cell r="AJ60">
            <v>617650.9</v>
          </cell>
          <cell r="AK60">
            <v>669007.05999999994</v>
          </cell>
          <cell r="AL60">
            <v>778994.94</v>
          </cell>
          <cell r="AM60">
            <v>861551.09999999986</v>
          </cell>
          <cell r="AN60">
            <v>916064.97999999986</v>
          </cell>
          <cell r="AO60">
            <v>0</v>
          </cell>
          <cell r="AP60">
            <v>67336.070000000007</v>
          </cell>
          <cell r="AQ60">
            <v>57065.43</v>
          </cell>
          <cell r="AR60">
            <v>287537.41000000003</v>
          </cell>
          <cell r="AS60">
            <v>34122.620000000003</v>
          </cell>
          <cell r="AT60">
            <v>57546.58</v>
          </cell>
          <cell r="AU60">
            <v>67185.33</v>
          </cell>
          <cell r="AV60">
            <v>23788.239999999998</v>
          </cell>
          <cell r="AW60">
            <v>23069.22</v>
          </cell>
          <cell r="AX60">
            <v>51356.160000000003</v>
          </cell>
          <cell r="AY60">
            <v>109987.88</v>
          </cell>
          <cell r="AZ60">
            <v>82556.160000000003</v>
          </cell>
          <cell r="BA60">
            <v>54513.880000000005</v>
          </cell>
          <cell r="BC60">
            <v>32352.73</v>
          </cell>
          <cell r="BD60">
            <v>106063.63999999998</v>
          </cell>
          <cell r="BE60">
            <v>175957.53000000003</v>
          </cell>
          <cell r="BF60">
            <v>224853.11000000002</v>
          </cell>
          <cell r="BG60">
            <v>273368.39999999997</v>
          </cell>
          <cell r="BH60">
            <v>322729.15999999997</v>
          </cell>
          <cell r="BI60">
            <v>355056.95</v>
          </cell>
          <cell r="BJ60">
            <v>392182.24</v>
          </cell>
          <cell r="BK60">
            <v>535658.05000000005</v>
          </cell>
          <cell r="BL60">
            <v>647922.71</v>
          </cell>
          <cell r="BM60">
            <v>707303.84</v>
          </cell>
          <cell r="BN60">
            <v>817913.67999999993</v>
          </cell>
          <cell r="BO60">
            <v>0</v>
          </cell>
          <cell r="BP60">
            <v>32352.73</v>
          </cell>
          <cell r="BQ60">
            <v>73710.909999999989</v>
          </cell>
          <cell r="BR60">
            <v>69893.890000000014</v>
          </cell>
          <cell r="BS60">
            <v>48895.58</v>
          </cell>
          <cell r="BT60">
            <v>48515.29</v>
          </cell>
          <cell r="BU60">
            <v>49360.76</v>
          </cell>
          <cell r="BV60">
            <v>32327.789999999997</v>
          </cell>
          <cell r="BW60">
            <v>37125.29</v>
          </cell>
          <cell r="BX60">
            <v>143475.80999999997</v>
          </cell>
          <cell r="BY60">
            <v>112264.66</v>
          </cell>
          <cell r="BZ60">
            <v>59381.130000000005</v>
          </cell>
          <cell r="CA60">
            <v>110609.84000000001</v>
          </cell>
        </row>
        <row r="61">
          <cell r="A61">
            <v>9500</v>
          </cell>
          <cell r="B61" t="str">
            <v>Odbyt a administrativa</v>
          </cell>
          <cell r="C61">
            <v>410199.64999999997</v>
          </cell>
          <cell r="D61">
            <v>988782.64</v>
          </cell>
          <cell r="E61">
            <v>1504926.97</v>
          </cell>
          <cell r="F61">
            <v>2161907.3699999996</v>
          </cell>
          <cell r="G61">
            <v>2879943.09</v>
          </cell>
          <cell r="H61">
            <v>3512511.3600000003</v>
          </cell>
          <cell r="I61">
            <v>9270975.5899999999</v>
          </cell>
          <cell r="J61">
            <v>11063745.91</v>
          </cell>
          <cell r="K61">
            <v>14816125.170000002</v>
          </cell>
          <cell r="L61">
            <v>16508650.119999997</v>
          </cell>
          <cell r="M61">
            <v>18629192.489999998</v>
          </cell>
          <cell r="N61">
            <v>21007676.02</v>
          </cell>
          <cell r="O61">
            <v>0</v>
          </cell>
          <cell r="P61">
            <v>410199.64999999997</v>
          </cell>
          <cell r="Q61">
            <v>578582.99</v>
          </cell>
          <cell r="R61">
            <v>516144.33000000007</v>
          </cell>
          <cell r="S61">
            <v>656980.4</v>
          </cell>
          <cell r="T61">
            <v>718035.72000000009</v>
          </cell>
          <cell r="U61">
            <v>632568.27</v>
          </cell>
          <cell r="V61">
            <v>5758464.2300000004</v>
          </cell>
          <cell r="W61">
            <v>1792770.3199999998</v>
          </cell>
          <cell r="X61">
            <v>3752379.2600000002</v>
          </cell>
          <cell r="Y61">
            <v>1692524.9499999997</v>
          </cell>
          <cell r="Z61">
            <v>2120542.37</v>
          </cell>
          <cell r="AA61">
            <v>2378483.5299999998</v>
          </cell>
          <cell r="AC61">
            <v>663579.69000000018</v>
          </cell>
          <cell r="AD61">
            <v>1137319.04</v>
          </cell>
          <cell r="AE61">
            <v>1814645.38</v>
          </cell>
          <cell r="AF61">
            <v>2857433.67</v>
          </cell>
          <cell r="AG61">
            <v>3888330.33</v>
          </cell>
          <cell r="AH61">
            <v>4522764.45</v>
          </cell>
          <cell r="AI61">
            <v>5025402.67</v>
          </cell>
          <cell r="AJ61">
            <v>5575270.9299999997</v>
          </cell>
          <cell r="AK61">
            <v>6094064.9300000006</v>
          </cell>
          <cell r="AL61">
            <v>6796945.9700000007</v>
          </cell>
          <cell r="AM61">
            <v>7431358.8099999996</v>
          </cell>
          <cell r="AN61">
            <v>10699859.779999999</v>
          </cell>
          <cell r="AO61">
            <v>0</v>
          </cell>
          <cell r="AP61">
            <v>663579.69000000018</v>
          </cell>
          <cell r="AQ61">
            <v>473739.35000000003</v>
          </cell>
          <cell r="AR61">
            <v>677326.34000000008</v>
          </cell>
          <cell r="AS61">
            <v>1042788.29</v>
          </cell>
          <cell r="AT61">
            <v>1030896.66</v>
          </cell>
          <cell r="AU61">
            <v>634434.12</v>
          </cell>
          <cell r="AV61">
            <v>502638.22000000003</v>
          </cell>
          <cell r="AW61">
            <v>549868.25999999989</v>
          </cell>
          <cell r="AX61">
            <v>518794</v>
          </cell>
          <cell r="AY61">
            <v>702881.04</v>
          </cell>
          <cell r="AZ61">
            <v>634412.84000000008</v>
          </cell>
          <cell r="BA61">
            <v>3268500.9699999997</v>
          </cell>
          <cell r="BC61">
            <v>410199.64999999997</v>
          </cell>
          <cell r="BD61">
            <v>988782.64</v>
          </cell>
          <cell r="BE61">
            <v>1504926.97</v>
          </cell>
          <cell r="BF61">
            <v>2161907.3699999996</v>
          </cell>
          <cell r="BG61">
            <v>2879943.09</v>
          </cell>
          <cell r="BH61">
            <v>3512511.3600000003</v>
          </cell>
          <cell r="BI61">
            <v>9270975.5899999999</v>
          </cell>
          <cell r="BJ61">
            <v>11063745.91</v>
          </cell>
          <cell r="BK61">
            <v>14816125.170000002</v>
          </cell>
          <cell r="BL61">
            <v>16508650.119999997</v>
          </cell>
          <cell r="BM61">
            <v>18629192.489999998</v>
          </cell>
          <cell r="BN61">
            <v>21007676.02</v>
          </cell>
          <cell r="BO61">
            <v>0</v>
          </cell>
          <cell r="BP61">
            <v>410199.64999999997</v>
          </cell>
          <cell r="BQ61">
            <v>578582.99</v>
          </cell>
          <cell r="BR61">
            <v>516144.33000000007</v>
          </cell>
          <cell r="BS61">
            <v>656980.4</v>
          </cell>
          <cell r="BT61">
            <v>718035.72000000009</v>
          </cell>
          <cell r="BU61">
            <v>632568.27</v>
          </cell>
          <cell r="BV61">
            <v>5758464.2300000004</v>
          </cell>
          <cell r="BW61">
            <v>1792770.3199999998</v>
          </cell>
          <cell r="BX61">
            <v>3752379.2600000002</v>
          </cell>
          <cell r="BY61">
            <v>1692524.9499999997</v>
          </cell>
          <cell r="BZ61">
            <v>2120542.37</v>
          </cell>
          <cell r="CA61">
            <v>2378483.5299999998</v>
          </cell>
        </row>
        <row r="62">
          <cell r="A62">
            <v>5910</v>
          </cell>
          <cell r="B62" t="str">
            <v>Ostatní provozní náklady</v>
          </cell>
          <cell r="C62">
            <v>2733736.51</v>
          </cell>
          <cell r="D62">
            <v>2733736.51</v>
          </cell>
          <cell r="E62">
            <v>2733736.51</v>
          </cell>
          <cell r="F62">
            <v>2733736.51</v>
          </cell>
          <cell r="G62">
            <v>2733736.51</v>
          </cell>
          <cell r="H62">
            <v>16132.100000000093</v>
          </cell>
          <cell r="I62">
            <v>42142.100000000093</v>
          </cell>
          <cell r="J62">
            <v>-240902.56999999989</v>
          </cell>
          <cell r="K62">
            <v>-90568.35999999987</v>
          </cell>
          <cell r="L62">
            <v>-272926.79999999987</v>
          </cell>
          <cell r="M62">
            <v>-453913.15999999986</v>
          </cell>
          <cell r="N62">
            <v>-1242404.97</v>
          </cell>
          <cell r="O62">
            <v>0</v>
          </cell>
          <cell r="P62">
            <v>2733736.51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-2717604.4099999997</v>
          </cell>
          <cell r="V62">
            <v>26010</v>
          </cell>
          <cell r="W62">
            <v>-283044.67</v>
          </cell>
          <cell r="X62">
            <v>150334.21000000002</v>
          </cell>
          <cell r="Y62">
            <v>-182358.44</v>
          </cell>
          <cell r="Z62">
            <v>-180986.36</v>
          </cell>
          <cell r="AA62">
            <v>-788491.81</v>
          </cell>
          <cell r="AC62">
            <v>2848688.2800000003</v>
          </cell>
          <cell r="AD62">
            <v>2848688.2800000003</v>
          </cell>
          <cell r="AE62">
            <v>2848688.2800000003</v>
          </cell>
          <cell r="AF62">
            <v>2848688.2800000003</v>
          </cell>
          <cell r="AG62">
            <v>2848688.2800000003</v>
          </cell>
          <cell r="AH62">
            <v>2848688.2800000003</v>
          </cell>
          <cell r="AI62">
            <v>2848688.2800000003</v>
          </cell>
          <cell r="AJ62">
            <v>2848688.2800000003</v>
          </cell>
          <cell r="AK62">
            <v>2848688.2800000003</v>
          </cell>
          <cell r="AL62">
            <v>2848688.2800000003</v>
          </cell>
          <cell r="AM62">
            <v>2848688.2800000003</v>
          </cell>
          <cell r="AN62">
            <v>114951.77000000048</v>
          </cell>
          <cell r="AO62">
            <v>0</v>
          </cell>
          <cell r="AP62">
            <v>2848688.2800000003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-2733736.51</v>
          </cell>
          <cell r="BC62">
            <v>2733736.51</v>
          </cell>
          <cell r="BD62">
            <v>2733736.51</v>
          </cell>
          <cell r="BE62">
            <v>2733736.51</v>
          </cell>
          <cell r="BF62">
            <v>2733736.51</v>
          </cell>
          <cell r="BG62">
            <v>2733736.51</v>
          </cell>
          <cell r="BH62">
            <v>16132.100000000093</v>
          </cell>
          <cell r="BI62">
            <v>42142.100000000093</v>
          </cell>
          <cell r="BJ62">
            <v>-240902.56999999989</v>
          </cell>
          <cell r="BK62">
            <v>-90568.35999999987</v>
          </cell>
          <cell r="BL62">
            <v>-272926.79999999987</v>
          </cell>
          <cell r="BM62">
            <v>-453913.15999999986</v>
          </cell>
          <cell r="BN62">
            <v>-1242404.97</v>
          </cell>
          <cell r="BO62">
            <v>0</v>
          </cell>
          <cell r="BP62">
            <v>2733736.51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-2717604.4099999997</v>
          </cell>
          <cell r="BV62">
            <v>26010</v>
          </cell>
          <cell r="BW62">
            <v>-283044.67</v>
          </cell>
          <cell r="BX62">
            <v>150334.21000000002</v>
          </cell>
          <cell r="BY62">
            <v>-182358.44</v>
          </cell>
          <cell r="BZ62">
            <v>-180986.36</v>
          </cell>
          <cell r="CA62">
            <v>-788491.81</v>
          </cell>
        </row>
        <row r="63">
          <cell r="A63">
            <v>5920</v>
          </cell>
          <cell r="B63" t="str">
            <v>Ostatní provozní výnosy</v>
          </cell>
          <cell r="C63">
            <v>12.95</v>
          </cell>
          <cell r="D63">
            <v>26.4</v>
          </cell>
          <cell r="E63">
            <v>125.74</v>
          </cell>
          <cell r="F63">
            <v>204.22</v>
          </cell>
          <cell r="G63">
            <v>4105.04</v>
          </cell>
          <cell r="H63">
            <v>4298.6799999999994</v>
          </cell>
          <cell r="I63">
            <v>4309.08</v>
          </cell>
          <cell r="J63">
            <v>4697.1500000000005</v>
          </cell>
          <cell r="K63">
            <v>31794.319999999996</v>
          </cell>
          <cell r="L63">
            <v>91932.31</v>
          </cell>
          <cell r="M63">
            <v>339095.69</v>
          </cell>
          <cell r="N63">
            <v>371998.17</v>
          </cell>
          <cell r="O63">
            <v>0</v>
          </cell>
          <cell r="P63">
            <v>12.95</v>
          </cell>
          <cell r="Q63">
            <v>13.45</v>
          </cell>
          <cell r="R63">
            <v>99.34</v>
          </cell>
          <cell r="S63">
            <v>78.48</v>
          </cell>
          <cell r="T63">
            <v>3900.8199999999997</v>
          </cell>
          <cell r="U63">
            <v>193.64000000000001</v>
          </cell>
          <cell r="V63">
            <v>10.399999999999999</v>
          </cell>
          <cell r="W63">
            <v>388.07000000000005</v>
          </cell>
          <cell r="X63">
            <v>27097.17</v>
          </cell>
          <cell r="Y63">
            <v>60137.990000000005</v>
          </cell>
          <cell r="Z63">
            <v>247163.38</v>
          </cell>
          <cell r="AA63">
            <v>32902.479999999996</v>
          </cell>
          <cell r="AC63">
            <v>2905.28</v>
          </cell>
          <cell r="AD63">
            <v>3799.84</v>
          </cell>
          <cell r="AE63">
            <v>3841.8</v>
          </cell>
          <cell r="AF63">
            <v>6152.82</v>
          </cell>
          <cell r="AG63">
            <v>6504.77</v>
          </cell>
          <cell r="AH63">
            <v>6562.24</v>
          </cell>
          <cell r="AI63">
            <v>10809.160000000002</v>
          </cell>
          <cell r="AJ63">
            <v>10853.61</v>
          </cell>
          <cell r="AK63">
            <v>19589.71</v>
          </cell>
          <cell r="AL63">
            <v>20352.009999999998</v>
          </cell>
          <cell r="AM63">
            <v>20673.75</v>
          </cell>
          <cell r="AN63">
            <v>21799.819999999996</v>
          </cell>
          <cell r="AO63">
            <v>0</v>
          </cell>
          <cell r="AP63">
            <v>2905.28</v>
          </cell>
          <cell r="AQ63">
            <v>894.56</v>
          </cell>
          <cell r="AR63">
            <v>41.96</v>
          </cell>
          <cell r="AS63">
            <v>2311.02</v>
          </cell>
          <cell r="AT63">
            <v>351.95</v>
          </cell>
          <cell r="AU63">
            <v>57.47</v>
          </cell>
          <cell r="AV63">
            <v>4246.9199999999992</v>
          </cell>
          <cell r="AW63">
            <v>44.449999999999996</v>
          </cell>
          <cell r="AX63">
            <v>8736.0999999999985</v>
          </cell>
          <cell r="AY63">
            <v>762.3</v>
          </cell>
          <cell r="AZ63">
            <v>321.73999999999995</v>
          </cell>
          <cell r="BA63">
            <v>1126.07</v>
          </cell>
          <cell r="BC63">
            <v>12.95</v>
          </cell>
          <cell r="BD63">
            <v>26.4</v>
          </cell>
          <cell r="BE63">
            <v>125.74</v>
          </cell>
          <cell r="BF63">
            <v>204.22</v>
          </cell>
          <cell r="BG63">
            <v>4105.04</v>
          </cell>
          <cell r="BH63">
            <v>4298.6799999999994</v>
          </cell>
          <cell r="BI63">
            <v>4309.08</v>
          </cell>
          <cell r="BJ63">
            <v>4697.1500000000005</v>
          </cell>
          <cell r="BK63">
            <v>31794.319999999996</v>
          </cell>
          <cell r="BL63">
            <v>91932.31</v>
          </cell>
          <cell r="BM63">
            <v>339095.69</v>
          </cell>
          <cell r="BN63">
            <v>371998.17</v>
          </cell>
          <cell r="BO63">
            <v>0</v>
          </cell>
          <cell r="BP63">
            <v>12.95</v>
          </cell>
          <cell r="BQ63">
            <v>13.45</v>
          </cell>
          <cell r="BR63">
            <v>99.34</v>
          </cell>
          <cell r="BS63">
            <v>78.48</v>
          </cell>
          <cell r="BT63">
            <v>3900.8199999999997</v>
          </cell>
          <cell r="BU63">
            <v>193.64000000000001</v>
          </cell>
          <cell r="BV63">
            <v>10.399999999999999</v>
          </cell>
          <cell r="BW63">
            <v>388.07000000000005</v>
          </cell>
          <cell r="BX63">
            <v>27097.17</v>
          </cell>
          <cell r="BY63">
            <v>60137.990000000005</v>
          </cell>
          <cell r="BZ63">
            <v>247163.38</v>
          </cell>
          <cell r="CA63">
            <v>32902.479999999996</v>
          </cell>
        </row>
        <row r="64">
          <cell r="A64">
            <v>9600</v>
          </cell>
          <cell r="B64" t="str">
            <v>Provozní zisk</v>
          </cell>
          <cell r="C64">
            <v>-23984332.630000003</v>
          </cell>
          <cell r="D64">
            <v>-25169630.370000005</v>
          </cell>
          <cell r="E64">
            <v>-24081940.210000001</v>
          </cell>
          <cell r="F64">
            <v>-19385881.25</v>
          </cell>
          <cell r="G64">
            <v>-18866339.220000006</v>
          </cell>
          <cell r="H64">
            <v>8395843.9400000069</v>
          </cell>
          <cell r="I64">
            <v>10016939.529999994</v>
          </cell>
          <cell r="J64">
            <v>12754344.989999996</v>
          </cell>
          <cell r="K64">
            <v>13168830.690000001</v>
          </cell>
          <cell r="L64">
            <v>14855805.010000007</v>
          </cell>
          <cell r="M64">
            <v>14326363.130000012</v>
          </cell>
          <cell r="N64">
            <v>12547278.349999994</v>
          </cell>
          <cell r="O64">
            <v>0</v>
          </cell>
          <cell r="P64">
            <v>-23984332.630000003</v>
          </cell>
          <cell r="Q64">
            <v>-1185297.7399999995</v>
          </cell>
          <cell r="R64">
            <v>1087690.1600000018</v>
          </cell>
          <cell r="S64">
            <v>4696058.9599999953</v>
          </cell>
          <cell r="T64">
            <v>519542.02999999822</v>
          </cell>
          <cell r="U64">
            <v>27262183.160000008</v>
          </cell>
          <cell r="V64">
            <v>1621095.5899999985</v>
          </cell>
          <cell r="W64">
            <v>2737405.4600000009</v>
          </cell>
          <cell r="X64">
            <v>414485.70000000071</v>
          </cell>
          <cell r="Y64">
            <v>1686974.3200000024</v>
          </cell>
          <cell r="Z64">
            <v>-529441.88000000035</v>
          </cell>
          <cell r="AA64">
            <v>-1779084.7799999956</v>
          </cell>
          <cell r="AC64">
            <v>-23213588.48</v>
          </cell>
          <cell r="AD64">
            <v>-21899985.659999996</v>
          </cell>
          <cell r="AE64">
            <v>-18745979.009999998</v>
          </cell>
          <cell r="AF64">
            <v>-15654741.030000001</v>
          </cell>
          <cell r="AG64">
            <v>-12682424.84</v>
          </cell>
          <cell r="AH64">
            <v>-10538204.629999997</v>
          </cell>
          <cell r="AI64">
            <v>-9137220.6899999976</v>
          </cell>
          <cell r="AJ64">
            <v>-6160156.8499999996</v>
          </cell>
          <cell r="AK64">
            <v>-5411794.9799999977</v>
          </cell>
          <cell r="AL64">
            <v>-2208348.0800000066</v>
          </cell>
          <cell r="AM64">
            <v>97179.739999998361</v>
          </cell>
          <cell r="AN64">
            <v>17759194.410000015</v>
          </cell>
          <cell r="AO64">
            <v>0</v>
          </cell>
          <cell r="AP64">
            <v>-23213588.48</v>
          </cell>
          <cell r="AQ64">
            <v>1313602.8199999996</v>
          </cell>
          <cell r="AR64">
            <v>3154006.6500000013</v>
          </cell>
          <cell r="AS64">
            <v>3091237.9799999986</v>
          </cell>
          <cell r="AT64">
            <v>2972316.189999999</v>
          </cell>
          <cell r="AU64">
            <v>2144220.2100000014</v>
          </cell>
          <cell r="AV64">
            <v>1400983.9400000009</v>
          </cell>
          <cell r="AW64">
            <v>2977063.8399999971</v>
          </cell>
          <cell r="AX64">
            <v>748361.86999999767</v>
          </cell>
          <cell r="AY64">
            <v>3203446.9000000022</v>
          </cell>
          <cell r="AZ64">
            <v>2305527.820000005</v>
          </cell>
          <cell r="BA64">
            <v>17662014.669999994</v>
          </cell>
          <cell r="BC64">
            <v>-23984332.630000003</v>
          </cell>
          <cell r="BD64">
            <v>-25169630.370000005</v>
          </cell>
          <cell r="BE64">
            <v>-24081940.210000001</v>
          </cell>
          <cell r="BF64">
            <v>-19385881.25</v>
          </cell>
          <cell r="BG64">
            <v>-18866339.220000006</v>
          </cell>
          <cell r="BH64">
            <v>8395843.9400000069</v>
          </cell>
          <cell r="BI64">
            <v>10016939.529999994</v>
          </cell>
          <cell r="BJ64">
            <v>12754344.989999996</v>
          </cell>
          <cell r="BK64">
            <v>13168830.690000001</v>
          </cell>
          <cell r="BL64">
            <v>14855805.010000007</v>
          </cell>
          <cell r="BM64">
            <v>14326363.130000012</v>
          </cell>
          <cell r="BN64">
            <v>12547278.349999994</v>
          </cell>
          <cell r="BO64">
            <v>0</v>
          </cell>
          <cell r="BP64">
            <v>-23984332.630000003</v>
          </cell>
          <cell r="BQ64">
            <v>-1185297.7399999995</v>
          </cell>
          <cell r="BR64">
            <v>1087690.1600000018</v>
          </cell>
          <cell r="BS64">
            <v>4696058.9599999953</v>
          </cell>
          <cell r="BT64">
            <v>519542.02999999822</v>
          </cell>
          <cell r="BU64">
            <v>27262183.160000008</v>
          </cell>
          <cell r="BV64">
            <v>1621095.5899999985</v>
          </cell>
          <cell r="BW64">
            <v>2737405.4600000009</v>
          </cell>
          <cell r="BX64">
            <v>414485.70000000071</v>
          </cell>
          <cell r="BY64">
            <v>1686974.3200000024</v>
          </cell>
          <cell r="BZ64">
            <v>-529441.88000000035</v>
          </cell>
          <cell r="CA64">
            <v>-1779084.7799999956</v>
          </cell>
        </row>
        <row r="65">
          <cell r="A65">
            <v>9690</v>
          </cell>
          <cell r="B65" t="str">
            <v>Provozní marže</v>
          </cell>
          <cell r="C65">
            <v>-18.820325960480293</v>
          </cell>
          <cell r="D65">
            <v>-7.3200605966830441</v>
          </cell>
          <cell r="E65">
            <v>-2.3027350337117052</v>
          </cell>
          <cell r="F65">
            <v>-0.92576947225787787</v>
          </cell>
          <cell r="G65">
            <v>-0.66158938520722543</v>
          </cell>
          <cell r="H65">
            <v>0.22860761473477412</v>
          </cell>
          <cell r="I65">
            <v>0.23518448290362207</v>
          </cell>
          <cell r="J65">
            <v>0.24347435698749451</v>
          </cell>
          <cell r="K65">
            <v>0.22158695856487901</v>
          </cell>
          <cell r="L65">
            <v>0.22565385631000964</v>
          </cell>
          <cell r="M65">
            <v>0.20620315771978034</v>
          </cell>
          <cell r="N65">
            <v>0.17331480049727035</v>
          </cell>
          <cell r="O65">
            <v>0</v>
          </cell>
          <cell r="P65">
            <v>-18.820325960480293</v>
          </cell>
          <cell r="Q65">
            <v>-0.5477191706622252</v>
          </cell>
          <cell r="R65">
            <v>0.15495205630739442</v>
          </cell>
          <cell r="S65">
            <v>0.44799816968715289</v>
          </cell>
          <cell r="T65">
            <v>6.857373571324854E-2</v>
          </cell>
          <cell r="U65">
            <v>3.3208847435309092</v>
          </cell>
          <cell r="V65">
            <v>0.27636226162963412</v>
          </cell>
          <cell r="W65">
            <v>0.27952908231559359</v>
          </cell>
          <cell r="X65">
            <v>5.8835093684946604E-2</v>
          </cell>
          <cell r="Y65">
            <v>0.26338995580697383</v>
          </cell>
          <cell r="Z65">
            <v>-0.14535320928184906</v>
          </cell>
          <cell r="AA65">
            <v>-0.60949453710453283</v>
          </cell>
          <cell r="AC65">
            <v>-15.72829949446314</v>
          </cell>
          <cell r="AD65">
            <v>-3.8508557763274496</v>
          </cell>
          <cell r="AE65">
            <v>-1.4499567372754181</v>
          </cell>
          <cell r="AF65">
            <v>-0.76144203325365223</v>
          </cell>
          <cell r="AG65">
            <v>-0.44464334432890162</v>
          </cell>
          <cell r="AH65">
            <v>-0.30013292976230971</v>
          </cell>
          <cell r="AI65">
            <v>-0.22577045576176125</v>
          </cell>
          <cell r="AJ65">
            <v>-0.12622967580353345</v>
          </cell>
          <cell r="AK65">
            <v>-9.8374796126121378E-2</v>
          </cell>
          <cell r="AL65">
            <v>-3.4910332131268547E-2</v>
          </cell>
          <cell r="AM65">
            <v>1.4014974627705231E-3</v>
          </cell>
          <cell r="AN65">
            <v>0.24057103316393139</v>
          </cell>
          <cell r="AO65">
            <v>0</v>
          </cell>
          <cell r="AP65">
            <v>-15.72829949446314</v>
          </cell>
          <cell r="AQ65">
            <v>0.3119358207484601</v>
          </cell>
          <cell r="AR65">
            <v>0.43553982841214145</v>
          </cell>
          <cell r="AS65">
            <v>0.40510612753756303</v>
          </cell>
          <cell r="AT65">
            <v>0.37324912839683116</v>
          </cell>
          <cell r="AU65">
            <v>0.3254193105610847</v>
          </cell>
          <cell r="AV65">
            <v>0.26140221644677797</v>
          </cell>
          <cell r="AW65">
            <v>0.35739526103998231</v>
          </cell>
          <cell r="AX65">
            <v>0.12049306703775109</v>
          </cell>
          <cell r="AY65">
            <v>0.38849838753639476</v>
          </cell>
          <cell r="AZ65">
            <v>0.37906080739697906</v>
          </cell>
          <cell r="BA65">
            <v>3.9414745190322211</v>
          </cell>
          <cell r="BC65">
            <v>-18.820325960480293</v>
          </cell>
          <cell r="BD65">
            <v>-7.3200605966830441</v>
          </cell>
          <cell r="BE65">
            <v>-2.3027350337117052</v>
          </cell>
          <cell r="BF65">
            <v>-0.92576947225787787</v>
          </cell>
          <cell r="BG65">
            <v>-0.66158938520722543</v>
          </cell>
          <cell r="BH65">
            <v>0.22860761473477412</v>
          </cell>
          <cell r="BI65">
            <v>0.23518448290362207</v>
          </cell>
          <cell r="BJ65">
            <v>0.24347435698749451</v>
          </cell>
          <cell r="BK65">
            <v>0.22158695856487901</v>
          </cell>
          <cell r="BL65">
            <v>0.22565385631000964</v>
          </cell>
          <cell r="BM65">
            <v>0.20620315771978034</v>
          </cell>
          <cell r="BN65">
            <v>0.17331480049727035</v>
          </cell>
          <cell r="BO65">
            <v>0</v>
          </cell>
          <cell r="BP65">
            <v>-18.820325960480293</v>
          </cell>
          <cell r="BQ65">
            <v>-0.5477191706622252</v>
          </cell>
          <cell r="BR65">
            <v>0.15495205630739442</v>
          </cell>
          <cell r="BS65">
            <v>0.44799816968715289</v>
          </cell>
          <cell r="BT65">
            <v>6.857373571324854E-2</v>
          </cell>
          <cell r="BU65">
            <v>3.3208847435309092</v>
          </cell>
          <cell r="BV65">
            <v>0.27636226162963412</v>
          </cell>
          <cell r="BW65">
            <v>0.27952908231559359</v>
          </cell>
          <cell r="BX65">
            <v>5.8835093684946604E-2</v>
          </cell>
          <cell r="BY65">
            <v>0.26338995580697383</v>
          </cell>
          <cell r="BZ65">
            <v>-0.14535320928184906</v>
          </cell>
          <cell r="CA65">
            <v>-0.60949453710453283</v>
          </cell>
        </row>
        <row r="66">
          <cell r="A66">
            <v>6100</v>
          </cell>
          <cell r="B66" t="str">
            <v>Finanční náklady</v>
          </cell>
          <cell r="C66">
            <v>2970.4500000000003</v>
          </cell>
          <cell r="D66">
            <v>4750.5300000000007</v>
          </cell>
          <cell r="E66">
            <v>8383.09</v>
          </cell>
          <cell r="F66">
            <v>20968.47</v>
          </cell>
          <cell r="G66">
            <v>25037.780000000002</v>
          </cell>
          <cell r="H66">
            <v>42537.69</v>
          </cell>
          <cell r="I66">
            <v>71563.92</v>
          </cell>
          <cell r="J66">
            <v>95843.96</v>
          </cell>
          <cell r="K66">
            <v>258269.37</v>
          </cell>
          <cell r="L66">
            <v>341984.64999999997</v>
          </cell>
          <cell r="M66">
            <v>378969.41</v>
          </cell>
          <cell r="N66">
            <v>389647.46</v>
          </cell>
          <cell r="O66">
            <v>0</v>
          </cell>
          <cell r="P66">
            <v>2970.4500000000003</v>
          </cell>
          <cell r="Q66">
            <v>1780.08</v>
          </cell>
          <cell r="R66">
            <v>3632.56</v>
          </cell>
          <cell r="S66">
            <v>12585.380000000001</v>
          </cell>
          <cell r="T66">
            <v>4069.31</v>
          </cell>
          <cell r="U66">
            <v>17499.91</v>
          </cell>
          <cell r="V66">
            <v>29026.23</v>
          </cell>
          <cell r="W66">
            <v>24280.04</v>
          </cell>
          <cell r="X66">
            <v>162425.40999999997</v>
          </cell>
          <cell r="Y66">
            <v>83715.28</v>
          </cell>
          <cell r="Z66">
            <v>36984.76</v>
          </cell>
          <cell r="AA66">
            <v>10678.05</v>
          </cell>
          <cell r="AC66">
            <v>3513.4199999999996</v>
          </cell>
          <cell r="AD66">
            <v>4725.32</v>
          </cell>
          <cell r="AE66">
            <v>6439.5399999999991</v>
          </cell>
          <cell r="AF66">
            <v>8183.6799999999994</v>
          </cell>
          <cell r="AG66">
            <v>10839.67</v>
          </cell>
          <cell r="AH66">
            <v>13164.22</v>
          </cell>
          <cell r="AI66">
            <v>18899.97</v>
          </cell>
          <cell r="AJ66">
            <v>21043.309999999998</v>
          </cell>
          <cell r="AK66">
            <v>22413</v>
          </cell>
          <cell r="AL66">
            <v>26631.58</v>
          </cell>
          <cell r="AM66">
            <v>28418.53</v>
          </cell>
          <cell r="AN66">
            <v>35306.54</v>
          </cell>
          <cell r="AO66">
            <v>0</v>
          </cell>
          <cell r="AP66">
            <v>3513.4199999999996</v>
          </cell>
          <cell r="AQ66">
            <v>1211.9000000000001</v>
          </cell>
          <cell r="AR66">
            <v>1714.22</v>
          </cell>
          <cell r="AS66">
            <v>1744.1399999999999</v>
          </cell>
          <cell r="AT66">
            <v>2655.99</v>
          </cell>
          <cell r="AU66">
            <v>2324.5500000000002</v>
          </cell>
          <cell r="AV66">
            <v>5735.75</v>
          </cell>
          <cell r="AW66">
            <v>2143.34</v>
          </cell>
          <cell r="AX66">
            <v>1369.6899999999998</v>
          </cell>
          <cell r="AY66">
            <v>4218.58</v>
          </cell>
          <cell r="AZ66">
            <v>1786.9499999999998</v>
          </cell>
          <cell r="BA66">
            <v>6888.01</v>
          </cell>
          <cell r="BC66">
            <v>2970.4500000000003</v>
          </cell>
          <cell r="BD66">
            <v>4750.5300000000007</v>
          </cell>
          <cell r="BE66">
            <v>8383.09</v>
          </cell>
          <cell r="BF66">
            <v>20968.47</v>
          </cell>
          <cell r="BG66">
            <v>25037.780000000002</v>
          </cell>
          <cell r="BH66">
            <v>42537.69</v>
          </cell>
          <cell r="BI66">
            <v>71563.92</v>
          </cell>
          <cell r="BJ66">
            <v>95843.96</v>
          </cell>
          <cell r="BK66">
            <v>258269.37</v>
          </cell>
          <cell r="BL66">
            <v>341984.64999999997</v>
          </cell>
          <cell r="BM66">
            <v>378969.41</v>
          </cell>
          <cell r="BN66">
            <v>389647.46</v>
          </cell>
          <cell r="BO66">
            <v>0</v>
          </cell>
          <cell r="BP66">
            <v>2970.4500000000003</v>
          </cell>
          <cell r="BQ66">
            <v>1780.08</v>
          </cell>
          <cell r="BR66">
            <v>3632.56</v>
          </cell>
          <cell r="BS66">
            <v>12585.380000000001</v>
          </cell>
          <cell r="BT66">
            <v>4069.31</v>
          </cell>
          <cell r="BU66">
            <v>17499.91</v>
          </cell>
          <cell r="BV66">
            <v>29026.23</v>
          </cell>
          <cell r="BW66">
            <v>24280.04</v>
          </cell>
          <cell r="BX66">
            <v>162425.40999999997</v>
          </cell>
          <cell r="BY66">
            <v>83715.28</v>
          </cell>
          <cell r="BZ66">
            <v>36984.76</v>
          </cell>
          <cell r="CA66">
            <v>10678.05</v>
          </cell>
        </row>
        <row r="67">
          <cell r="A67">
            <v>6200</v>
          </cell>
          <cell r="B67" t="str">
            <v>Finanční výnosy</v>
          </cell>
          <cell r="C67">
            <v>0</v>
          </cell>
          <cell r="D67">
            <v>3.3499999999999996</v>
          </cell>
          <cell r="E67">
            <v>3.3499999999999996</v>
          </cell>
          <cell r="F67">
            <v>37.03</v>
          </cell>
          <cell r="G67">
            <v>2932.23</v>
          </cell>
          <cell r="H67">
            <v>48350.989999999991</v>
          </cell>
          <cell r="I67">
            <v>73714.7</v>
          </cell>
          <cell r="J67">
            <v>133065.09</v>
          </cell>
          <cell r="K67">
            <v>199989.41999999998</v>
          </cell>
          <cell r="L67">
            <v>267801.57999999996</v>
          </cell>
          <cell r="M67">
            <v>306315.81</v>
          </cell>
          <cell r="N67">
            <v>340973.05</v>
          </cell>
          <cell r="O67">
            <v>0</v>
          </cell>
          <cell r="P67">
            <v>0</v>
          </cell>
          <cell r="Q67">
            <v>3.3499999999999996</v>
          </cell>
          <cell r="R67">
            <v>0</v>
          </cell>
          <cell r="S67">
            <v>33.68</v>
          </cell>
          <cell r="T67">
            <v>2895.2</v>
          </cell>
          <cell r="U67">
            <v>45418.759999999995</v>
          </cell>
          <cell r="V67">
            <v>25363.71</v>
          </cell>
          <cell r="W67">
            <v>59350.39</v>
          </cell>
          <cell r="X67">
            <v>66924.33</v>
          </cell>
          <cell r="Y67">
            <v>67812.160000000003</v>
          </cell>
          <cell r="Z67">
            <v>38514.230000000003</v>
          </cell>
          <cell r="AA67">
            <v>34657.24</v>
          </cell>
          <cell r="AB67">
            <v>0</v>
          </cell>
          <cell r="AC67">
            <v>1547.34</v>
          </cell>
          <cell r="AD67">
            <v>2935.38</v>
          </cell>
          <cell r="AE67">
            <v>4576.6500000000005</v>
          </cell>
          <cell r="AF67">
            <v>5427.5800000000008</v>
          </cell>
          <cell r="AG67">
            <v>6530.7100000000009</v>
          </cell>
          <cell r="AH67">
            <v>9233.9900000000016</v>
          </cell>
          <cell r="AI67">
            <v>10534.61</v>
          </cell>
          <cell r="AJ67">
            <v>11831.68</v>
          </cell>
          <cell r="AK67">
            <v>13175.26</v>
          </cell>
          <cell r="AL67">
            <v>14060.599999999999</v>
          </cell>
          <cell r="AM67">
            <v>15006.23</v>
          </cell>
          <cell r="AN67">
            <v>92774.809999999983</v>
          </cell>
          <cell r="AO67">
            <v>0</v>
          </cell>
          <cell r="AP67">
            <v>1547.34</v>
          </cell>
          <cell r="AQ67">
            <v>1388.04</v>
          </cell>
          <cell r="AR67">
            <v>1641.2699999999998</v>
          </cell>
          <cell r="AS67">
            <v>850.93000000000006</v>
          </cell>
          <cell r="AT67">
            <v>1103.1299999999999</v>
          </cell>
          <cell r="AU67">
            <v>2703.28</v>
          </cell>
          <cell r="AV67">
            <v>1300.6199999999999</v>
          </cell>
          <cell r="AW67">
            <v>1297.07</v>
          </cell>
          <cell r="AX67">
            <v>1343.58</v>
          </cell>
          <cell r="AY67">
            <v>885.34</v>
          </cell>
          <cell r="AZ67">
            <v>945.63</v>
          </cell>
          <cell r="BA67">
            <v>77768.579999999987</v>
          </cell>
          <cell r="BB67">
            <v>0</v>
          </cell>
          <cell r="BC67">
            <v>0</v>
          </cell>
          <cell r="BD67">
            <v>3.3499999999999996</v>
          </cell>
          <cell r="BE67">
            <v>3.3499999999999996</v>
          </cell>
          <cell r="BF67">
            <v>37.03</v>
          </cell>
          <cell r="BG67">
            <v>2932.23</v>
          </cell>
          <cell r="BH67">
            <v>48350.989999999991</v>
          </cell>
          <cell r="BI67">
            <v>73714.7</v>
          </cell>
          <cell r="BJ67">
            <v>133065.09</v>
          </cell>
          <cell r="BK67">
            <v>199989.41999999998</v>
          </cell>
          <cell r="BL67">
            <v>267801.57999999996</v>
          </cell>
          <cell r="BM67">
            <v>306315.81</v>
          </cell>
          <cell r="BN67">
            <v>340973.05</v>
          </cell>
          <cell r="BO67">
            <v>0</v>
          </cell>
          <cell r="BP67">
            <v>0</v>
          </cell>
          <cell r="BQ67">
            <v>3.3499999999999996</v>
          </cell>
          <cell r="BR67">
            <v>0</v>
          </cell>
          <cell r="BS67">
            <v>33.68</v>
          </cell>
          <cell r="BT67">
            <v>2895.2</v>
          </cell>
          <cell r="BU67">
            <v>45418.759999999995</v>
          </cell>
          <cell r="BV67">
            <v>25363.71</v>
          </cell>
          <cell r="BW67">
            <v>59350.39</v>
          </cell>
          <cell r="BX67">
            <v>66924.33</v>
          </cell>
          <cell r="BY67">
            <v>67812.160000000003</v>
          </cell>
          <cell r="BZ67">
            <v>38514.230000000003</v>
          </cell>
          <cell r="CA67">
            <v>34657.24</v>
          </cell>
        </row>
        <row r="68">
          <cell r="A68">
            <v>9800</v>
          </cell>
          <cell r="B68" t="str">
            <v>Zisk před zdaněním</v>
          </cell>
          <cell r="C68">
            <v>-23987303.080000002</v>
          </cell>
          <cell r="D68">
            <v>-25174377.550000004</v>
          </cell>
          <cell r="E68">
            <v>-24090319.949999999</v>
          </cell>
          <cell r="F68">
            <v>-19406812.689999998</v>
          </cell>
          <cell r="G68">
            <v>-18888444.770000007</v>
          </cell>
          <cell r="H68">
            <v>8401657.2400000058</v>
          </cell>
          <cell r="I68">
            <v>10019090.309999993</v>
          </cell>
          <cell r="J68">
            <v>12791566.119999995</v>
          </cell>
          <cell r="K68">
            <v>13110550.740000002</v>
          </cell>
          <cell r="L68">
            <v>14781621.940000007</v>
          </cell>
          <cell r="M68">
            <v>14253709.530000012</v>
          </cell>
          <cell r="N68">
            <v>12498603.939999994</v>
          </cell>
          <cell r="O68">
            <v>0</v>
          </cell>
          <cell r="P68">
            <v>-23987303.080000002</v>
          </cell>
          <cell r="Q68">
            <v>-1187074.4699999995</v>
          </cell>
          <cell r="R68">
            <v>1084057.6000000017</v>
          </cell>
          <cell r="S68">
            <v>4683507.2599999951</v>
          </cell>
          <cell r="T68">
            <v>518367.91999999824</v>
          </cell>
          <cell r="U68">
            <v>27290102.010000009</v>
          </cell>
          <cell r="V68">
            <v>1617433.0699999984</v>
          </cell>
          <cell r="W68">
            <v>2772475.810000001</v>
          </cell>
          <cell r="X68">
            <v>318984.62000000075</v>
          </cell>
          <cell r="Y68">
            <v>1671071.2000000023</v>
          </cell>
          <cell r="Z68">
            <v>-527912.41000000038</v>
          </cell>
          <cell r="AA68">
            <v>-1755105.5899999957</v>
          </cell>
          <cell r="AB68">
            <v>0</v>
          </cell>
          <cell r="AC68">
            <v>-23215554.560000002</v>
          </cell>
          <cell r="AD68">
            <v>-21901775.599999998</v>
          </cell>
          <cell r="AE68">
            <v>-18747841.899999999</v>
          </cell>
          <cell r="AF68">
            <v>-15657497.130000001</v>
          </cell>
          <cell r="AG68">
            <v>-12686733.799999999</v>
          </cell>
          <cell r="AH68">
            <v>-10542134.859999998</v>
          </cell>
          <cell r="AI68">
            <v>-9145586.0499999989</v>
          </cell>
          <cell r="AJ68">
            <v>-6169368.4799999995</v>
          </cell>
          <cell r="AK68">
            <v>-5421032.7199999979</v>
          </cell>
          <cell r="AL68">
            <v>-2220919.0600000066</v>
          </cell>
          <cell r="AM68">
            <v>83767.439999998358</v>
          </cell>
          <cell r="AN68">
            <v>17816662.680000015</v>
          </cell>
          <cell r="AO68">
            <v>0</v>
          </cell>
          <cell r="AP68">
            <v>-23215554.560000002</v>
          </cell>
          <cell r="AQ68">
            <v>1313778.9599999997</v>
          </cell>
          <cell r="AR68">
            <v>3153933.7000000011</v>
          </cell>
          <cell r="AS68">
            <v>3090344.7699999986</v>
          </cell>
          <cell r="AT68">
            <v>2970763.3299999987</v>
          </cell>
          <cell r="AU68">
            <v>2144598.9400000013</v>
          </cell>
          <cell r="AV68">
            <v>1396548.810000001</v>
          </cell>
          <cell r="AW68">
            <v>2976217.569999997</v>
          </cell>
          <cell r="AX68">
            <v>748335.75999999768</v>
          </cell>
          <cell r="AY68">
            <v>3200113.660000002</v>
          </cell>
          <cell r="AZ68">
            <v>2304686.5000000047</v>
          </cell>
          <cell r="BA68">
            <v>17732895.239999991</v>
          </cell>
          <cell r="BB68">
            <v>0</v>
          </cell>
          <cell r="BC68">
            <v>-23987303.080000002</v>
          </cell>
          <cell r="BD68">
            <v>-25174377.550000004</v>
          </cell>
          <cell r="BE68">
            <v>-24090319.949999999</v>
          </cell>
          <cell r="BF68">
            <v>-19406812.689999998</v>
          </cell>
          <cell r="BG68">
            <v>-18888444.770000007</v>
          </cell>
          <cell r="BH68">
            <v>8401657.2400000058</v>
          </cell>
          <cell r="BI68">
            <v>10019090.309999993</v>
          </cell>
          <cell r="BJ68">
            <v>12791566.119999995</v>
          </cell>
          <cell r="BK68">
            <v>13110550.740000002</v>
          </cell>
          <cell r="BL68">
            <v>14781621.940000007</v>
          </cell>
          <cell r="BM68">
            <v>14253709.530000012</v>
          </cell>
          <cell r="BN68">
            <v>12498603.939999994</v>
          </cell>
          <cell r="BO68">
            <v>0</v>
          </cell>
          <cell r="BP68">
            <v>-23987303.080000002</v>
          </cell>
          <cell r="BQ68">
            <v>-1187074.4699999995</v>
          </cell>
          <cell r="BR68">
            <v>1084057.6000000017</v>
          </cell>
          <cell r="BS68">
            <v>4683507.2599999951</v>
          </cell>
          <cell r="BT68">
            <v>518367.91999999824</v>
          </cell>
          <cell r="BU68">
            <v>27290102.010000009</v>
          </cell>
          <cell r="BV68">
            <v>1617433.0699999984</v>
          </cell>
          <cell r="BW68">
            <v>2772475.810000001</v>
          </cell>
          <cell r="BX68">
            <v>318984.62000000075</v>
          </cell>
          <cell r="BY68">
            <v>1671071.2000000023</v>
          </cell>
          <cell r="BZ68">
            <v>-527912.41000000038</v>
          </cell>
          <cell r="CA68">
            <v>-1755105.5899999957</v>
          </cell>
        </row>
        <row r="69">
          <cell r="A69">
            <v>7100</v>
          </cell>
          <cell r="B69" t="str">
            <v>Daň z příjmu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1738559</v>
          </cell>
          <cell r="I69">
            <v>2098129</v>
          </cell>
          <cell r="J69">
            <v>2674230</v>
          </cell>
          <cell r="K69">
            <v>2741115</v>
          </cell>
          <cell r="L69">
            <v>3088865</v>
          </cell>
          <cell r="M69">
            <v>3088865</v>
          </cell>
          <cell r="N69">
            <v>2605774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1738559</v>
          </cell>
          <cell r="V69">
            <v>359570</v>
          </cell>
          <cell r="W69">
            <v>576101</v>
          </cell>
          <cell r="X69">
            <v>66885</v>
          </cell>
          <cell r="Y69">
            <v>347750</v>
          </cell>
          <cell r="Z69">
            <v>0</v>
          </cell>
          <cell r="AA69">
            <v>-483091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3707470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3707470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1738559</v>
          </cell>
          <cell r="BI69">
            <v>2098129</v>
          </cell>
          <cell r="BJ69">
            <v>2674230</v>
          </cell>
          <cell r="BK69">
            <v>2741115</v>
          </cell>
          <cell r="BL69">
            <v>3088865</v>
          </cell>
          <cell r="BM69">
            <v>3088865</v>
          </cell>
          <cell r="BN69">
            <v>2605774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1738559</v>
          </cell>
          <cell r="BV69">
            <v>359570</v>
          </cell>
          <cell r="BW69">
            <v>576101</v>
          </cell>
          <cell r="BX69">
            <v>66885</v>
          </cell>
          <cell r="BY69">
            <v>347750</v>
          </cell>
          <cell r="BZ69">
            <v>0</v>
          </cell>
          <cell r="CA69">
            <v>-483091</v>
          </cell>
        </row>
        <row r="70">
          <cell r="A70">
            <v>9900</v>
          </cell>
          <cell r="B70" t="str">
            <v>Čistý zisk</v>
          </cell>
          <cell r="C70">
            <v>-23987303.080000002</v>
          </cell>
          <cell r="D70">
            <v>-25174377.550000004</v>
          </cell>
          <cell r="E70">
            <v>-24090319.949999999</v>
          </cell>
          <cell r="F70">
            <v>-19406812.689999998</v>
          </cell>
          <cell r="G70">
            <v>-18888444.770000007</v>
          </cell>
          <cell r="H70">
            <v>6663098.2400000058</v>
          </cell>
          <cell r="I70">
            <v>7920961.3099999931</v>
          </cell>
          <cell r="J70">
            <v>10117336.119999995</v>
          </cell>
          <cell r="K70">
            <v>10369435.740000002</v>
          </cell>
          <cell r="L70">
            <v>11692756.940000007</v>
          </cell>
          <cell r="M70">
            <v>11164844.530000012</v>
          </cell>
          <cell r="N70">
            <v>9892829.9399999939</v>
          </cell>
          <cell r="O70">
            <v>0</v>
          </cell>
          <cell r="P70">
            <v>-23987303.080000002</v>
          </cell>
          <cell r="Q70">
            <v>-1187074.4699999995</v>
          </cell>
          <cell r="R70">
            <v>1084057.6000000017</v>
          </cell>
          <cell r="S70">
            <v>4683507.2599999951</v>
          </cell>
          <cell r="T70">
            <v>518367.91999999824</v>
          </cell>
          <cell r="U70">
            <v>25551543.010000009</v>
          </cell>
          <cell r="V70">
            <v>1257863.0699999984</v>
          </cell>
          <cell r="W70">
            <v>2196374.810000001</v>
          </cell>
          <cell r="X70">
            <v>252099.62000000075</v>
          </cell>
          <cell r="Y70">
            <v>1323321.2000000023</v>
          </cell>
          <cell r="Z70">
            <v>-527912.41000000038</v>
          </cell>
          <cell r="AA70">
            <v>-1272014.5899999957</v>
          </cell>
          <cell r="AB70">
            <v>0</v>
          </cell>
          <cell r="AC70">
            <v>-23215554.560000002</v>
          </cell>
          <cell r="AD70">
            <v>-21901775.599999998</v>
          </cell>
          <cell r="AE70">
            <v>-18747841.899999999</v>
          </cell>
          <cell r="AF70">
            <v>-15657497.130000001</v>
          </cell>
          <cell r="AG70">
            <v>-12686733.799999999</v>
          </cell>
          <cell r="AH70">
            <v>-10542134.859999998</v>
          </cell>
          <cell r="AI70">
            <v>-9145586.0499999989</v>
          </cell>
          <cell r="AJ70">
            <v>-6169368.4799999995</v>
          </cell>
          <cell r="AK70">
            <v>-5421032.7199999979</v>
          </cell>
          <cell r="AL70">
            <v>-2220919.0600000066</v>
          </cell>
          <cell r="AM70">
            <v>83767.439999998358</v>
          </cell>
          <cell r="AN70">
            <v>14109192.680000015</v>
          </cell>
          <cell r="AO70">
            <v>0</v>
          </cell>
          <cell r="AP70">
            <v>-23215554.560000002</v>
          </cell>
          <cell r="AQ70">
            <v>1313778.9599999997</v>
          </cell>
          <cell r="AR70">
            <v>3153933.7000000011</v>
          </cell>
          <cell r="AS70">
            <v>3090344.7699999986</v>
          </cell>
          <cell r="AT70">
            <v>2970763.3299999987</v>
          </cell>
          <cell r="AU70">
            <v>2144598.9400000013</v>
          </cell>
          <cell r="AV70">
            <v>1396548.810000001</v>
          </cell>
          <cell r="AW70">
            <v>2976217.569999997</v>
          </cell>
          <cell r="AX70">
            <v>748335.75999999768</v>
          </cell>
          <cell r="AY70">
            <v>3200113.660000002</v>
          </cell>
          <cell r="AZ70">
            <v>2304686.5000000047</v>
          </cell>
          <cell r="BA70">
            <v>14025425.239999991</v>
          </cell>
          <cell r="BB70">
            <v>0</v>
          </cell>
          <cell r="BC70">
            <v>-23987303.080000002</v>
          </cell>
          <cell r="BD70">
            <v>-25174377.550000004</v>
          </cell>
          <cell r="BE70">
            <v>-24090319.949999999</v>
          </cell>
          <cell r="BF70">
            <v>-19406812.689999998</v>
          </cell>
          <cell r="BG70">
            <v>-18888444.770000007</v>
          </cell>
          <cell r="BH70">
            <v>6663098.2400000058</v>
          </cell>
          <cell r="BI70">
            <v>7920961.3099999931</v>
          </cell>
          <cell r="BJ70">
            <v>10117336.119999995</v>
          </cell>
          <cell r="BK70">
            <v>10369435.740000002</v>
          </cell>
          <cell r="BL70">
            <v>11692756.940000007</v>
          </cell>
          <cell r="BM70">
            <v>11164844.530000012</v>
          </cell>
          <cell r="BN70">
            <v>9892829.9399999939</v>
          </cell>
          <cell r="BO70">
            <v>0</v>
          </cell>
          <cell r="BP70">
            <v>-23987303.080000002</v>
          </cell>
          <cell r="BQ70">
            <v>-1187074.4699999995</v>
          </cell>
          <cell r="BR70">
            <v>1084057.6000000017</v>
          </cell>
          <cell r="BS70">
            <v>4683507.2599999951</v>
          </cell>
          <cell r="BT70">
            <v>518367.91999999824</v>
          </cell>
          <cell r="BU70">
            <v>25551543.010000009</v>
          </cell>
          <cell r="BV70">
            <v>1257863.0699999984</v>
          </cell>
          <cell r="BW70">
            <v>2196374.810000001</v>
          </cell>
          <cell r="BX70">
            <v>252099.62000000075</v>
          </cell>
          <cell r="BY70">
            <v>1323321.2000000023</v>
          </cell>
          <cell r="BZ70">
            <v>-527912.41000000038</v>
          </cell>
          <cell r="CA70">
            <v>-1272014.5899999957</v>
          </cell>
        </row>
        <row r="71">
          <cell r="A71">
            <v>9990</v>
          </cell>
          <cell r="B71" t="str">
            <v>Rentabilita tržeb</v>
          </cell>
          <cell r="C71">
            <v>-18.822656850320413</v>
          </cell>
          <cell r="D71">
            <v>-7.3214412147037509</v>
          </cell>
          <cell r="E71">
            <v>-2.3035363113788336</v>
          </cell>
          <cell r="F71">
            <v>-0.92676904962619566</v>
          </cell>
          <cell r="G71">
            <v>-0.66236456459224702</v>
          </cell>
          <cell r="H71">
            <v>0.18142726404581927</v>
          </cell>
          <cell r="I71">
            <v>0.18597368829199135</v>
          </cell>
          <cell r="J71">
            <v>0.19313511655633459</v>
          </cell>
          <cell r="K71">
            <v>0.17448259315881262</v>
          </cell>
          <cell r="L71">
            <v>0.17760839568307099</v>
          </cell>
          <cell r="M71">
            <v>0.1606985790214587</v>
          </cell>
          <cell r="N71">
            <v>0.13664906440881841</v>
          </cell>
          <cell r="O71">
            <v>0</v>
          </cell>
          <cell r="P71">
            <v>-18.822656850320413</v>
          </cell>
          <cell r="Q71">
            <v>-0.54854018722983522</v>
          </cell>
          <cell r="R71">
            <v>0.15443456275788947</v>
          </cell>
          <cell r="S71">
            <v>0.4468007531567475</v>
          </cell>
          <cell r="T71">
            <v>6.8418766328311037E-2</v>
          </cell>
          <cell r="U71">
            <v>3.112506759182923</v>
          </cell>
          <cell r="V71">
            <v>0.21443885541974406</v>
          </cell>
          <cell r="W71">
            <v>0.22428195020126332</v>
          </cell>
          <cell r="X71">
            <v>3.5784840733080678E-2</v>
          </cell>
          <cell r="Y71">
            <v>0.20661222180692812</v>
          </cell>
          <cell r="Z71">
            <v>-0.14493330790759376</v>
          </cell>
          <cell r="AA71">
            <v>-0.43577796428693033</v>
          </cell>
          <cell r="AC71">
            <v>-15.729631606260364</v>
          </cell>
          <cell r="AD71">
            <v>-3.8511705162955616</v>
          </cell>
          <cell r="AE71">
            <v>-1.4501008273709453</v>
          </cell>
          <cell r="AF71">
            <v>-0.76157608915300112</v>
          </cell>
          <cell r="AG71">
            <v>-0.44479441562710764</v>
          </cell>
          <cell r="AH71">
            <v>-0.30024486452595833</v>
          </cell>
          <cell r="AI71">
            <v>-0.22597715440721244</v>
          </cell>
          <cell r="AJ71">
            <v>-0.12641843415771756</v>
          </cell>
          <cell r="AK71">
            <v>-9.8542718376044849E-2</v>
          </cell>
          <cell r="AL71">
            <v>-3.5109058541742538E-2</v>
          </cell>
          <cell r="AM71">
            <v>1.2080692397693357E-3</v>
          </cell>
          <cell r="AN71">
            <v>0.19112708503406595</v>
          </cell>
          <cell r="AO71">
            <v>0</v>
          </cell>
          <cell r="AP71">
            <v>-15.729631606260364</v>
          </cell>
          <cell r="AQ71">
            <v>0.31197764798469169</v>
          </cell>
          <cell r="AR71">
            <v>0.43552975467609439</v>
          </cell>
          <cell r="AS71">
            <v>0.40498907254324717</v>
          </cell>
          <cell r="AT71">
            <v>0.37305412772917929</v>
          </cell>
          <cell r="AU71">
            <v>0.32547678882517062</v>
          </cell>
          <cell r="AV71">
            <v>0.26057468889337176</v>
          </cell>
          <cell r="AW71">
            <v>0.35729366668265061</v>
          </cell>
          <cell r="AX71">
            <v>0.12048886309029402</v>
          </cell>
          <cell r="AY71">
            <v>0.38809414847587781</v>
          </cell>
          <cell r="AZ71">
            <v>0.37892248269939233</v>
          </cell>
          <cell r="BA71">
            <v>3.1299292427805097</v>
          </cell>
          <cell r="BC71">
            <v>-18.822656850320413</v>
          </cell>
          <cell r="BD71">
            <v>-7.3214412147037509</v>
          </cell>
          <cell r="BE71">
            <v>-2.3035363113788336</v>
          </cell>
          <cell r="BF71">
            <v>-0.92676904962619566</v>
          </cell>
          <cell r="BG71">
            <v>-0.66236456459224702</v>
          </cell>
          <cell r="BH71">
            <v>0.18142726404581927</v>
          </cell>
          <cell r="BI71">
            <v>0.18597368829199135</v>
          </cell>
          <cell r="BJ71">
            <v>0.19313511655633459</v>
          </cell>
          <cell r="BK71">
            <v>0.17448259315881262</v>
          </cell>
          <cell r="BL71">
            <v>0.17760839568307099</v>
          </cell>
          <cell r="BM71">
            <v>0.1606985790214587</v>
          </cell>
          <cell r="BN71">
            <v>0.13664906440881841</v>
          </cell>
          <cell r="BO71">
            <v>0</v>
          </cell>
          <cell r="BP71">
            <v>-18.822656850320413</v>
          </cell>
          <cell r="BQ71">
            <v>-0.54854018722983522</v>
          </cell>
          <cell r="BR71">
            <v>0.15443456275788947</v>
          </cell>
          <cell r="BS71">
            <v>0.4468007531567475</v>
          </cell>
          <cell r="BT71">
            <v>6.8418766328311037E-2</v>
          </cell>
          <cell r="BU71">
            <v>3.112506759182923</v>
          </cell>
          <cell r="BV71">
            <v>0.21443885541974406</v>
          </cell>
          <cell r="BW71">
            <v>0.22428195020126332</v>
          </cell>
          <cell r="BX71">
            <v>3.5784840733080678E-2</v>
          </cell>
          <cell r="BY71">
            <v>0.20661222180692812</v>
          </cell>
          <cell r="BZ71">
            <v>-0.14493330790759376</v>
          </cell>
          <cell r="CA71">
            <v>-0.43577796428693033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</row>
        <row r="73">
          <cell r="A73">
            <v>9650</v>
          </cell>
          <cell r="B73" t="str">
            <v>Odpisy celkem</v>
          </cell>
          <cell r="C73">
            <v>95506</v>
          </cell>
          <cell r="D73">
            <v>220251</v>
          </cell>
          <cell r="E73">
            <v>344996</v>
          </cell>
          <cell r="F73">
            <v>481243</v>
          </cell>
          <cell r="G73">
            <v>619750</v>
          </cell>
          <cell r="H73">
            <v>758257</v>
          </cell>
          <cell r="I73">
            <v>896764</v>
          </cell>
          <cell r="J73">
            <v>1035271</v>
          </cell>
          <cell r="K73">
            <v>1173778</v>
          </cell>
          <cell r="L73">
            <v>1320385</v>
          </cell>
          <cell r="M73">
            <v>1458892</v>
          </cell>
          <cell r="N73">
            <v>1329279</v>
          </cell>
          <cell r="O73">
            <v>0</v>
          </cell>
          <cell r="P73">
            <v>95506</v>
          </cell>
          <cell r="Q73">
            <v>124745</v>
          </cell>
          <cell r="R73">
            <v>124745</v>
          </cell>
          <cell r="S73">
            <v>136247</v>
          </cell>
          <cell r="T73">
            <v>138507</v>
          </cell>
          <cell r="U73">
            <v>138507</v>
          </cell>
          <cell r="V73">
            <v>138507</v>
          </cell>
          <cell r="W73">
            <v>138507</v>
          </cell>
          <cell r="X73">
            <v>138507</v>
          </cell>
          <cell r="Y73">
            <v>146607</v>
          </cell>
          <cell r="Z73">
            <v>138507</v>
          </cell>
          <cell r="AA73">
            <v>-129613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1048565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1048565</v>
          </cell>
          <cell r="BB73">
            <v>0</v>
          </cell>
          <cell r="BC73">
            <v>95506</v>
          </cell>
          <cell r="BD73">
            <v>220251</v>
          </cell>
          <cell r="BE73">
            <v>344996</v>
          </cell>
          <cell r="BF73">
            <v>481243</v>
          </cell>
          <cell r="BG73">
            <v>619750</v>
          </cell>
          <cell r="BH73">
            <v>758257</v>
          </cell>
          <cell r="BI73">
            <v>896764</v>
          </cell>
          <cell r="BJ73">
            <v>1035271</v>
          </cell>
          <cell r="BK73">
            <v>1173778</v>
          </cell>
          <cell r="BL73">
            <v>1320385</v>
          </cell>
          <cell r="BM73">
            <v>1458892</v>
          </cell>
          <cell r="BN73">
            <v>1329279</v>
          </cell>
          <cell r="BO73">
            <v>0</v>
          </cell>
          <cell r="BP73">
            <v>95506</v>
          </cell>
          <cell r="BQ73">
            <v>124745</v>
          </cell>
          <cell r="BR73">
            <v>124745</v>
          </cell>
          <cell r="BS73">
            <v>136247</v>
          </cell>
          <cell r="BT73">
            <v>138507</v>
          </cell>
          <cell r="BU73">
            <v>138507</v>
          </cell>
          <cell r="BV73">
            <v>138507</v>
          </cell>
          <cell r="BW73">
            <v>138507</v>
          </cell>
          <cell r="BX73">
            <v>138507</v>
          </cell>
          <cell r="BY73">
            <v>146607</v>
          </cell>
          <cell r="BZ73">
            <v>138507</v>
          </cell>
          <cell r="CA73">
            <v>-129613</v>
          </cell>
        </row>
        <row r="74">
          <cell r="A74">
            <v>9700</v>
          </cell>
          <cell r="B74" t="str">
            <v>EBITDA</v>
          </cell>
          <cell r="C74">
            <v>-23888826.630000003</v>
          </cell>
          <cell r="D74">
            <v>-24949379.370000005</v>
          </cell>
          <cell r="E74">
            <v>-23736944.210000001</v>
          </cell>
          <cell r="F74">
            <v>-18904638.25</v>
          </cell>
          <cell r="G74">
            <v>-18246589.220000006</v>
          </cell>
          <cell r="H74">
            <v>9154100.9400000069</v>
          </cell>
          <cell r="I74">
            <v>10913703.529999994</v>
          </cell>
          <cell r="J74">
            <v>13789615.989999996</v>
          </cell>
          <cell r="K74">
            <v>14342608.690000001</v>
          </cell>
          <cell r="L74">
            <v>16176190.010000007</v>
          </cell>
          <cell r="M74">
            <v>15785255.130000012</v>
          </cell>
          <cell r="N74">
            <v>13876557.349999994</v>
          </cell>
          <cell r="O74">
            <v>0</v>
          </cell>
          <cell r="P74">
            <v>-23888826.630000003</v>
          </cell>
          <cell r="Q74">
            <v>-1060552.7399999995</v>
          </cell>
          <cell r="R74">
            <v>1212435.1600000018</v>
          </cell>
          <cell r="S74">
            <v>4832305.9599999953</v>
          </cell>
          <cell r="T74">
            <v>658049.02999999817</v>
          </cell>
          <cell r="U74">
            <v>27400690.160000008</v>
          </cell>
          <cell r="V74">
            <v>1759602.5899999985</v>
          </cell>
          <cell r="W74">
            <v>2875912.4600000009</v>
          </cell>
          <cell r="X74">
            <v>552992.70000000065</v>
          </cell>
          <cell r="Y74">
            <v>1833581.3200000024</v>
          </cell>
          <cell r="Z74">
            <v>-390934.88000000035</v>
          </cell>
          <cell r="AA74">
            <v>-1908697.7799999956</v>
          </cell>
          <cell r="AC74">
            <v>-23213588.48</v>
          </cell>
          <cell r="AD74">
            <v>-21899985.659999996</v>
          </cell>
          <cell r="AE74">
            <v>-18745979.009999998</v>
          </cell>
          <cell r="AF74">
            <v>-15654741.030000001</v>
          </cell>
          <cell r="AG74">
            <v>-12682424.84</v>
          </cell>
          <cell r="AH74">
            <v>-10538204.629999997</v>
          </cell>
          <cell r="AI74">
            <v>-9137220.6899999976</v>
          </cell>
          <cell r="AJ74">
            <v>-6160156.8499999996</v>
          </cell>
          <cell r="AK74">
            <v>-5411794.9799999977</v>
          </cell>
          <cell r="AL74">
            <v>-2208348.0800000066</v>
          </cell>
          <cell r="AM74">
            <v>97179.739999998361</v>
          </cell>
          <cell r="AN74">
            <v>18807759.410000015</v>
          </cell>
          <cell r="AO74">
            <v>0</v>
          </cell>
          <cell r="AP74">
            <v>-23213588.48</v>
          </cell>
          <cell r="AQ74">
            <v>1313602.8199999996</v>
          </cell>
          <cell r="AR74">
            <v>3154006.6500000013</v>
          </cell>
          <cell r="AS74">
            <v>3091237.9799999986</v>
          </cell>
          <cell r="AT74">
            <v>2972316.189999999</v>
          </cell>
          <cell r="AU74">
            <v>2144220.2100000014</v>
          </cell>
          <cell r="AV74">
            <v>1400983.9400000009</v>
          </cell>
          <cell r="AW74">
            <v>2977063.8399999971</v>
          </cell>
          <cell r="AX74">
            <v>748361.86999999767</v>
          </cell>
          <cell r="AY74">
            <v>3203446.9000000022</v>
          </cell>
          <cell r="AZ74">
            <v>2305527.820000005</v>
          </cell>
          <cell r="BA74">
            <v>18710579.669999994</v>
          </cell>
          <cell r="BC74">
            <v>-23888826.630000003</v>
          </cell>
          <cell r="BD74">
            <v>-24949379.370000005</v>
          </cell>
          <cell r="BE74">
            <v>-23736944.210000001</v>
          </cell>
          <cell r="BF74">
            <v>-18904638.25</v>
          </cell>
          <cell r="BG74">
            <v>-18246589.220000006</v>
          </cell>
          <cell r="BH74">
            <v>9154100.9400000069</v>
          </cell>
          <cell r="BI74">
            <v>10913703.529999994</v>
          </cell>
          <cell r="BJ74">
            <v>13789615.989999996</v>
          </cell>
          <cell r="BK74">
            <v>14342608.690000001</v>
          </cell>
          <cell r="BL74">
            <v>16176190.010000007</v>
          </cell>
          <cell r="BM74">
            <v>15785255.130000012</v>
          </cell>
          <cell r="BN74">
            <v>13876557.349999994</v>
          </cell>
          <cell r="BO74">
            <v>0</v>
          </cell>
          <cell r="BP74">
            <v>-23888826.630000003</v>
          </cell>
          <cell r="BQ74">
            <v>-1060552.7399999995</v>
          </cell>
          <cell r="BR74">
            <v>1212435.1600000018</v>
          </cell>
          <cell r="BS74">
            <v>4832305.9599999953</v>
          </cell>
          <cell r="BT74">
            <v>658049.02999999817</v>
          </cell>
          <cell r="BU74">
            <v>27400690.160000008</v>
          </cell>
          <cell r="BV74">
            <v>1759602.5899999985</v>
          </cell>
          <cell r="BW74">
            <v>2875912.4600000009</v>
          </cell>
          <cell r="BX74">
            <v>552992.70000000065</v>
          </cell>
          <cell r="BY74">
            <v>1833581.3200000024</v>
          </cell>
          <cell r="BZ74">
            <v>-390934.88000000035</v>
          </cell>
          <cell r="CA74">
            <v>-1908697.7799999956</v>
          </cell>
        </row>
        <row r="75">
          <cell r="A75">
            <v>9790</v>
          </cell>
          <cell r="B75" t="str">
            <v>EBITDA %</v>
          </cell>
          <cell r="C75">
            <v>-18.745383118462946</v>
          </cell>
          <cell r="D75">
            <v>-7.2560051996517991</v>
          </cell>
          <cell r="E75">
            <v>-2.269746230950684</v>
          </cell>
          <cell r="F75">
            <v>-0.90278779438662826</v>
          </cell>
          <cell r="G75">
            <v>-0.63985649804236844</v>
          </cell>
          <cell r="H75">
            <v>0.2492539399124126</v>
          </cell>
          <cell r="I75">
            <v>0.25623931477067474</v>
          </cell>
          <cell r="J75">
            <v>0.2632371861433962</v>
          </cell>
          <cell r="K75">
            <v>0.24133767927601046</v>
          </cell>
          <cell r="L75">
            <v>0.24570998701873467</v>
          </cell>
          <cell r="M75">
            <v>0.22720137858311856</v>
          </cell>
          <cell r="N75">
            <v>0.19167605130113183</v>
          </cell>
          <cell r="O75">
            <v>0</v>
          </cell>
          <cell r="P75">
            <v>-18.745383118462946</v>
          </cell>
          <cell r="Q75">
            <v>-0.4900752339208464</v>
          </cell>
          <cell r="R75">
            <v>0.17272319644905559</v>
          </cell>
          <cell r="S75">
            <v>0.46099596361292711</v>
          </cell>
          <cell r="T75">
            <v>8.6855110200765834E-2</v>
          </cell>
          <cell r="U75">
            <v>3.3377566785653388</v>
          </cell>
          <cell r="V75">
            <v>0.29997475432140425</v>
          </cell>
          <cell r="W75">
            <v>0.29367267016548626</v>
          </cell>
          <cell r="X75">
            <v>7.8495777566250313E-2</v>
          </cell>
          <cell r="Y75">
            <v>0.28627993747011676</v>
          </cell>
          <cell r="Z75">
            <v>-0.10732743588061934</v>
          </cell>
          <cell r="AA75">
            <v>-0.65389850049391662</v>
          </cell>
          <cell r="AB75">
            <v>0</v>
          </cell>
          <cell r="AC75">
            <v>-15.72829949446314</v>
          </cell>
          <cell r="AD75">
            <v>-3.8508557763274496</v>
          </cell>
          <cell r="AE75">
            <v>-1.4499567372754181</v>
          </cell>
          <cell r="AF75">
            <v>-0.76144203325365223</v>
          </cell>
          <cell r="AG75">
            <v>-0.44464334432890162</v>
          </cell>
          <cell r="AH75">
            <v>-0.30013292976230971</v>
          </cell>
          <cell r="AI75">
            <v>-0.22577045576176125</v>
          </cell>
          <cell r="AJ75">
            <v>-0.12622967580353345</v>
          </cell>
          <cell r="AK75">
            <v>-9.8374796126121378E-2</v>
          </cell>
          <cell r="AL75">
            <v>-3.4910332131268547E-2</v>
          </cell>
          <cell r="AM75">
            <v>1.4014974627705231E-3</v>
          </cell>
          <cell r="AN75">
            <v>0.25477518902628832</v>
          </cell>
          <cell r="AO75">
            <v>0</v>
          </cell>
          <cell r="AP75">
            <v>-15.72829949446314</v>
          </cell>
          <cell r="AQ75">
            <v>0.3119358207484601</v>
          </cell>
          <cell r="AR75">
            <v>0.43553982841214145</v>
          </cell>
          <cell r="AS75">
            <v>0.40510612753756303</v>
          </cell>
          <cell r="AT75">
            <v>0.37324912839683116</v>
          </cell>
          <cell r="AU75">
            <v>0.3254193105610847</v>
          </cell>
          <cell r="AV75">
            <v>0.26140221644677797</v>
          </cell>
          <cell r="AW75">
            <v>0.35739526103998231</v>
          </cell>
          <cell r="AX75">
            <v>0.12049306703775109</v>
          </cell>
          <cell r="AY75">
            <v>0.38849838753639476</v>
          </cell>
          <cell r="AZ75">
            <v>0.37906080739697906</v>
          </cell>
          <cell r="BA75">
            <v>4.175473431742275</v>
          </cell>
          <cell r="BB75">
            <v>0</v>
          </cell>
          <cell r="BC75">
            <v>-18.745383118462946</v>
          </cell>
          <cell r="BD75">
            <v>-7.2560051996517991</v>
          </cell>
          <cell r="BE75">
            <v>-2.269746230950684</v>
          </cell>
          <cell r="BF75">
            <v>-0.90278779438662826</v>
          </cell>
          <cell r="BG75">
            <v>-0.63985649804236844</v>
          </cell>
          <cell r="BH75">
            <v>0.2492539399124126</v>
          </cell>
          <cell r="BI75">
            <v>0.25623931477067474</v>
          </cell>
          <cell r="BJ75">
            <v>0.2632371861433962</v>
          </cell>
          <cell r="BK75">
            <v>0.24133767927601046</v>
          </cell>
          <cell r="BL75">
            <v>0.24570998701873467</v>
          </cell>
          <cell r="BM75">
            <v>0.22720137858311856</v>
          </cell>
          <cell r="BN75">
            <v>0.19167605130113183</v>
          </cell>
          <cell r="BO75">
            <v>0</v>
          </cell>
          <cell r="BP75">
            <v>-18.745383118462946</v>
          </cell>
          <cell r="BQ75">
            <v>-0.4900752339208464</v>
          </cell>
          <cell r="BR75">
            <v>0.17272319644905559</v>
          </cell>
          <cell r="BS75">
            <v>0.46099596361292711</v>
          </cell>
          <cell r="BT75">
            <v>8.6855110200765834E-2</v>
          </cell>
          <cell r="BU75">
            <v>3.3377566785653388</v>
          </cell>
          <cell r="BV75">
            <v>0.29997475432140425</v>
          </cell>
          <cell r="BW75">
            <v>0.29367267016548626</v>
          </cell>
          <cell r="BX75">
            <v>7.8495777566250313E-2</v>
          </cell>
          <cell r="BY75">
            <v>0.28627993747011676</v>
          </cell>
          <cell r="BZ75">
            <v>-0.10732743588061934</v>
          </cell>
          <cell r="CA75">
            <v>-0.65389850049391662</v>
          </cell>
        </row>
        <row r="76">
          <cell r="N76">
            <v>0.20848520462838199</v>
          </cell>
          <cell r="AN76">
            <v>0.20809003720779862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X196"/>
  <sheetViews>
    <sheetView showGridLines="0" tabSelected="1" zoomScaleNormal="100" zoomScalePageLayoutView="125" workbookViewId="0">
      <pane xSplit="2" ySplit="4" topLeftCell="C178" activePane="bottomRight" state="frozen"/>
      <selection activeCell="BM36" sqref="BM36"/>
      <selection pane="topRight" activeCell="BM36" sqref="BM36"/>
      <selection pane="bottomLeft" activeCell="BM36" sqref="BM36"/>
      <selection pane="bottomRight" activeCell="C191" sqref="C191"/>
    </sheetView>
  </sheetViews>
  <sheetFormatPr defaultColWidth="10.85546875" defaultRowHeight="15" outlineLevelRow="2" outlineLevelCol="2"/>
  <cols>
    <col min="1" max="1" width="7.42578125" style="45" hidden="1" customWidth="1" outlineLevel="1"/>
    <col min="2" max="2" width="45.28515625" style="45" customWidth="1" collapsed="1"/>
    <col min="3" max="3" width="18.28515625" style="45" bestFit="1" customWidth="1" outlineLevel="1"/>
    <col min="4" max="4" width="16.7109375" style="45" customWidth="1" outlineLevel="1"/>
    <col min="5" max="5" width="17.42578125" style="45" customWidth="1" outlineLevel="1"/>
    <col min="6" max="7" width="16.5703125" style="45" bestFit="1" customWidth="1"/>
    <col min="8" max="11" width="16.5703125" style="45" bestFit="1" customWidth="1" outlineLevel="1"/>
    <col min="12" max="12" width="9.42578125" style="333" customWidth="1"/>
    <col min="13" max="13" width="21.28515625" style="45" hidden="1" customWidth="1" outlineLevel="2" collapsed="1"/>
    <col min="14" max="14" width="24" style="45" hidden="1" customWidth="1" outlineLevel="1" collapsed="1"/>
    <col min="15" max="15" width="18.42578125" style="45" hidden="1" customWidth="1" outlineLevel="2"/>
    <col min="16" max="16" width="18.85546875" style="45" hidden="1" customWidth="1" outlineLevel="2"/>
    <col min="17" max="17" width="18.7109375" style="45" hidden="1" customWidth="1" outlineLevel="2"/>
    <col min="18" max="18" width="18.42578125" style="45" hidden="1" customWidth="1" outlineLevel="2"/>
    <col min="19" max="19" width="3.42578125" style="333" hidden="1" customWidth="1" outlineLevel="1" collapsed="1"/>
    <col min="20" max="20" width="52.28515625" style="45" hidden="1" customWidth="1" outlineLevel="2" collapsed="1"/>
    <col min="21" max="21" width="17.85546875" style="45" hidden="1" customWidth="1" outlineLevel="1" collapsed="1"/>
    <col min="22" max="22" width="17.85546875" style="45" hidden="1" customWidth="1" outlineLevel="2"/>
    <col min="23" max="25" width="18.7109375" style="45" hidden="1" customWidth="1" outlineLevel="2"/>
    <col min="26" max="26" width="4.42578125" style="333" hidden="1" customWidth="1" outlineLevel="1" collapsed="1"/>
    <col min="27" max="27" width="52.28515625" style="45" hidden="1" customWidth="1" outlineLevel="2" collapsed="1"/>
    <col min="28" max="28" width="17.85546875" style="45" hidden="1" customWidth="1" outlineLevel="1" collapsed="1"/>
    <col min="29" max="32" width="17.85546875" style="45" hidden="1" customWidth="1" outlineLevel="1"/>
    <col min="33" max="33" width="1.85546875" style="45" customWidth="1" collapsed="1"/>
    <col min="34" max="38" width="18.140625" style="443" hidden="1" customWidth="1" outlineLevel="1"/>
    <col min="39" max="39" width="6.85546875" style="447" customWidth="1" collapsed="1"/>
    <col min="40" max="41" width="10" style="45" customWidth="1"/>
    <col min="42" max="44" width="10.85546875" style="45" customWidth="1"/>
    <col min="45" max="45" width="10.85546875" style="45"/>
    <col min="46" max="46" width="16.28515625" style="45" hidden="1" customWidth="1" outlineLevel="1"/>
    <col min="47" max="48" width="0" style="45" hidden="1" customWidth="1" outlineLevel="1"/>
    <col min="49" max="49" width="10.85546875" style="45" collapsed="1"/>
    <col min="50" max="16384" width="10.85546875" style="45"/>
  </cols>
  <sheetData>
    <row r="1" spans="1:48" s="88" customFormat="1" ht="21.75" customHeight="1">
      <c r="A1" s="36"/>
      <c r="B1" s="37" t="s">
        <v>452</v>
      </c>
      <c r="C1" s="349">
        <f>C154-C173</f>
        <v>0</v>
      </c>
      <c r="D1" s="349">
        <f>D154-D173</f>
        <v>0</v>
      </c>
      <c r="E1" s="349">
        <f>E154-E173</f>
        <v>0</v>
      </c>
      <c r="F1" s="349">
        <f>F154-F173</f>
        <v>0</v>
      </c>
      <c r="G1" s="349">
        <f>G154-G173</f>
        <v>0</v>
      </c>
      <c r="H1" s="349">
        <f t="shared" ref="H1:K1" si="0">H154-H173</f>
        <v>0</v>
      </c>
      <c r="I1" s="349">
        <f t="shared" si="0"/>
        <v>0</v>
      </c>
      <c r="J1" s="349">
        <f t="shared" si="0"/>
        <v>0</v>
      </c>
      <c r="K1" s="349">
        <f t="shared" si="0"/>
        <v>0</v>
      </c>
      <c r="L1" s="333"/>
      <c r="M1" s="37" t="s">
        <v>169</v>
      </c>
      <c r="N1" s="349" t="e">
        <f>N154-N173</f>
        <v>#REF!</v>
      </c>
      <c r="O1" s="349" t="e">
        <f t="shared" ref="O1:R1" si="1">O154-O173</f>
        <v>#REF!</v>
      </c>
      <c r="P1" s="349" t="e">
        <f t="shared" si="1"/>
        <v>#REF!</v>
      </c>
      <c r="Q1" s="349" t="e">
        <f t="shared" si="1"/>
        <v>#REF!</v>
      </c>
      <c r="R1" s="349" t="e">
        <f t="shared" si="1"/>
        <v>#REF!</v>
      </c>
      <c r="S1" s="333"/>
      <c r="T1" s="37" t="s">
        <v>169</v>
      </c>
      <c r="U1" s="349" t="e">
        <f>U154-U173</f>
        <v>#REF!</v>
      </c>
      <c r="V1" s="349" t="e">
        <f t="shared" ref="V1:Y1" si="2">V154-V173</f>
        <v>#REF!</v>
      </c>
      <c r="W1" s="349" t="e">
        <f t="shared" si="2"/>
        <v>#REF!</v>
      </c>
      <c r="X1" s="349" t="e">
        <f t="shared" si="2"/>
        <v>#REF!</v>
      </c>
      <c r="Y1" s="349" t="e">
        <f t="shared" si="2"/>
        <v>#REF!</v>
      </c>
      <c r="Z1" s="333"/>
      <c r="AA1" s="37" t="s">
        <v>169</v>
      </c>
      <c r="AB1" s="349" t="e">
        <f>AB154-AB173</f>
        <v>#REF!</v>
      </c>
      <c r="AC1" s="349" t="e">
        <f t="shared" ref="AC1:AF1" si="3">AC154-AC173</f>
        <v>#REF!</v>
      </c>
      <c r="AD1" s="349" t="e">
        <f t="shared" si="3"/>
        <v>#REF!</v>
      </c>
      <c r="AE1" s="349" t="e">
        <f t="shared" si="3"/>
        <v>#REF!</v>
      </c>
      <c r="AF1" s="349" t="e">
        <f t="shared" si="3"/>
        <v>#REF!</v>
      </c>
      <c r="AH1" s="435" t="e">
        <f t="shared" ref="AH1" si="4">G1-SUM(N1,U1,AB1)</f>
        <v>#REF!</v>
      </c>
      <c r="AI1" s="435" t="e">
        <f t="shared" ref="AI1" si="5">H1-SUM(O1,V1,AC1)</f>
        <v>#REF!</v>
      </c>
      <c r="AJ1" s="435" t="e">
        <f t="shared" ref="AJ1" si="6">I1-SUM(P1,W1,AD1)</f>
        <v>#REF!</v>
      </c>
      <c r="AK1" s="435" t="e">
        <f t="shared" ref="AK1" si="7">J1-SUM(Q1,X1,AE1)</f>
        <v>#REF!</v>
      </c>
      <c r="AL1" s="435" t="e">
        <f t="shared" ref="AL1" si="8">K1-SUM(R1,Y1,AF1)</f>
        <v>#REF!</v>
      </c>
      <c r="AM1" s="444"/>
    </row>
    <row r="2" spans="1:48" s="90" customFormat="1" ht="29.25" customHeight="1">
      <c r="A2" s="36"/>
      <c r="B2" s="37" t="s">
        <v>453</v>
      </c>
      <c r="C2" s="114">
        <v>41974</v>
      </c>
      <c r="D2" s="114">
        <v>42339</v>
      </c>
      <c r="E2" s="114">
        <v>42705</v>
      </c>
      <c r="F2" s="350">
        <v>43100</v>
      </c>
      <c r="G2" s="350">
        <v>43465</v>
      </c>
      <c r="H2" s="350">
        <v>43830</v>
      </c>
      <c r="I2" s="350">
        <v>44196</v>
      </c>
      <c r="J2" s="350">
        <v>44561</v>
      </c>
      <c r="K2" s="350">
        <v>44926</v>
      </c>
      <c r="L2" s="334"/>
      <c r="M2" s="37" t="s">
        <v>418</v>
      </c>
      <c r="N2" s="350">
        <v>43465</v>
      </c>
      <c r="O2" s="350">
        <v>43830</v>
      </c>
      <c r="P2" s="350">
        <v>44196</v>
      </c>
      <c r="Q2" s="350">
        <v>44561</v>
      </c>
      <c r="R2" s="350">
        <v>44926</v>
      </c>
      <c r="S2" s="334"/>
      <c r="T2" s="37" t="s">
        <v>416</v>
      </c>
      <c r="U2" s="350">
        <v>43465</v>
      </c>
      <c r="V2" s="350">
        <v>43830</v>
      </c>
      <c r="W2" s="350">
        <v>44196</v>
      </c>
      <c r="X2" s="350">
        <v>44561</v>
      </c>
      <c r="Y2" s="350">
        <v>44926</v>
      </c>
      <c r="Z2" s="334"/>
      <c r="AA2" s="37" t="s">
        <v>417</v>
      </c>
      <c r="AB2" s="350">
        <v>43465</v>
      </c>
      <c r="AC2" s="350">
        <v>43830</v>
      </c>
      <c r="AD2" s="350">
        <v>44196</v>
      </c>
      <c r="AE2" s="350">
        <v>44561</v>
      </c>
      <c r="AF2" s="350">
        <v>44926</v>
      </c>
      <c r="AH2" s="436">
        <v>43465</v>
      </c>
      <c r="AI2" s="436">
        <v>43830</v>
      </c>
      <c r="AJ2" s="436">
        <v>44196</v>
      </c>
      <c r="AK2" s="436">
        <v>44561</v>
      </c>
      <c r="AL2" s="436">
        <v>44926</v>
      </c>
      <c r="AM2" s="445"/>
      <c r="AN2" s="350" t="s">
        <v>421</v>
      </c>
      <c r="AO2" s="350" t="s">
        <v>422</v>
      </c>
      <c r="AP2" s="350" t="s">
        <v>423</v>
      </c>
      <c r="AQ2" s="350" t="s">
        <v>424</v>
      </c>
      <c r="AR2" s="350" t="s">
        <v>425</v>
      </c>
    </row>
    <row r="3" spans="1:48" s="90" customFormat="1">
      <c r="A3" s="36"/>
      <c r="B3" s="92"/>
      <c r="C3" s="115" t="s">
        <v>0</v>
      </c>
      <c r="D3" s="115" t="s">
        <v>0</v>
      </c>
      <c r="E3" s="115" t="s">
        <v>0</v>
      </c>
      <c r="F3" s="94" t="s">
        <v>0</v>
      </c>
      <c r="G3" s="94" t="s">
        <v>0</v>
      </c>
      <c r="H3" s="94" t="s">
        <v>0</v>
      </c>
      <c r="I3" s="94" t="s">
        <v>0</v>
      </c>
      <c r="J3" s="94" t="s">
        <v>0</v>
      </c>
      <c r="K3" s="94" t="s">
        <v>0</v>
      </c>
      <c r="L3" s="334"/>
      <c r="M3" s="92"/>
      <c r="N3" s="94" t="s">
        <v>0</v>
      </c>
      <c r="O3" s="94" t="s">
        <v>0</v>
      </c>
      <c r="P3" s="94" t="s">
        <v>0</v>
      </c>
      <c r="Q3" s="94" t="s">
        <v>0</v>
      </c>
      <c r="R3" s="94" t="s">
        <v>0</v>
      </c>
      <c r="S3" s="334"/>
      <c r="T3" s="92"/>
      <c r="U3" s="94" t="s">
        <v>0</v>
      </c>
      <c r="V3" s="94" t="s">
        <v>0</v>
      </c>
      <c r="W3" s="94" t="s">
        <v>0</v>
      </c>
      <c r="X3" s="94" t="s">
        <v>0</v>
      </c>
      <c r="Y3" s="94" t="s">
        <v>0</v>
      </c>
      <c r="Z3" s="334"/>
      <c r="AA3" s="92"/>
      <c r="AB3" s="94" t="s">
        <v>0</v>
      </c>
      <c r="AC3" s="94" t="s">
        <v>0</v>
      </c>
      <c r="AD3" s="94" t="s">
        <v>0</v>
      </c>
      <c r="AE3" s="94" t="s">
        <v>0</v>
      </c>
      <c r="AF3" s="94" t="s">
        <v>0</v>
      </c>
      <c r="AH3" s="437" t="s">
        <v>0</v>
      </c>
      <c r="AI3" s="437" t="s">
        <v>0</v>
      </c>
      <c r="AJ3" s="437" t="s">
        <v>0</v>
      </c>
      <c r="AK3" s="437" t="s">
        <v>0</v>
      </c>
      <c r="AL3" s="437" t="s">
        <v>0</v>
      </c>
      <c r="AM3" s="446"/>
    </row>
    <row r="4" spans="1:48" s="90" customFormat="1" ht="25.5" customHeight="1">
      <c r="A4" s="36"/>
      <c r="B4" s="37" t="s">
        <v>266</v>
      </c>
      <c r="C4" s="116" t="s">
        <v>79</v>
      </c>
      <c r="D4" s="116" t="s">
        <v>79</v>
      </c>
      <c r="E4" s="116" t="s">
        <v>79</v>
      </c>
      <c r="F4" s="457" t="s">
        <v>131</v>
      </c>
      <c r="G4" s="450" t="s">
        <v>450</v>
      </c>
      <c r="H4" s="450" t="s">
        <v>450</v>
      </c>
      <c r="I4" s="450" t="s">
        <v>450</v>
      </c>
      <c r="J4" s="450" t="s">
        <v>450</v>
      </c>
      <c r="K4" s="450" t="s">
        <v>450</v>
      </c>
      <c r="L4" s="334"/>
      <c r="M4" s="37" t="s">
        <v>266</v>
      </c>
      <c r="N4" s="451" t="s">
        <v>447</v>
      </c>
      <c r="O4" s="95" t="s">
        <v>133</v>
      </c>
      <c r="P4" s="95" t="s">
        <v>133</v>
      </c>
      <c r="Q4" s="95" t="s">
        <v>133</v>
      </c>
      <c r="R4" s="95" t="s">
        <v>133</v>
      </c>
      <c r="S4" s="334"/>
      <c r="T4" s="37" t="s">
        <v>266</v>
      </c>
      <c r="U4" s="451" t="s">
        <v>448</v>
      </c>
      <c r="V4" s="95" t="s">
        <v>133</v>
      </c>
      <c r="W4" s="95" t="s">
        <v>133</v>
      </c>
      <c r="X4" s="95" t="s">
        <v>133</v>
      </c>
      <c r="Y4" s="95" t="s">
        <v>133</v>
      </c>
      <c r="Z4" s="334"/>
      <c r="AA4" s="37" t="s">
        <v>266</v>
      </c>
      <c r="AB4" s="451" t="s">
        <v>449</v>
      </c>
      <c r="AC4" s="95" t="s">
        <v>133</v>
      </c>
      <c r="AD4" s="95" t="s">
        <v>133</v>
      </c>
      <c r="AE4" s="95" t="s">
        <v>133</v>
      </c>
      <c r="AF4" s="95" t="s">
        <v>133</v>
      </c>
      <c r="AH4" s="438" t="s">
        <v>445</v>
      </c>
      <c r="AI4" s="438" t="s">
        <v>445</v>
      </c>
      <c r="AJ4" s="438" t="s">
        <v>445</v>
      </c>
      <c r="AK4" s="438" t="s">
        <v>445</v>
      </c>
      <c r="AL4" s="438" t="s">
        <v>445</v>
      </c>
      <c r="AM4" s="446"/>
    </row>
    <row r="5" spans="1:48" s="96" customFormat="1" outlineLevel="1">
      <c r="A5" s="39">
        <v>1100</v>
      </c>
      <c r="B5" s="40" t="s">
        <v>80</v>
      </c>
      <c r="C5" s="41">
        <f>'PLAN 2018'!C5</f>
        <v>4049850.081666667</v>
      </c>
      <c r="D5" s="41">
        <f>'PLAN 2018'!D5</f>
        <v>4459749.0949999997</v>
      </c>
      <c r="E5" s="41">
        <f>'PLAN 2018'!E5</f>
        <v>5298021.6833333327</v>
      </c>
      <c r="F5" s="41">
        <f>'PLAN 2018'!S5</f>
        <v>5066424.6316666678</v>
      </c>
      <c r="G5" s="41">
        <f>'PLAN 2018'!AG5</f>
        <v>5300000</v>
      </c>
      <c r="H5" s="51">
        <f t="shared" ref="H5:K5" si="9">G5*$L5</f>
        <v>5300000</v>
      </c>
      <c r="I5" s="51">
        <f t="shared" si="9"/>
        <v>5300000</v>
      </c>
      <c r="J5" s="51">
        <f t="shared" si="9"/>
        <v>5300000</v>
      </c>
      <c r="K5" s="51">
        <f t="shared" si="9"/>
        <v>5300000</v>
      </c>
      <c r="L5" s="333">
        <v>1</v>
      </c>
      <c r="M5" s="40" t="s">
        <v>80</v>
      </c>
      <c r="N5" s="41">
        <v>0</v>
      </c>
      <c r="O5" s="41">
        <f>N5*1.2</f>
        <v>0</v>
      </c>
      <c r="P5" s="41">
        <f>O5*1.1</f>
        <v>0</v>
      </c>
      <c r="Q5" s="41">
        <f t="shared" ref="Q5" si="10">P5*1.1</f>
        <v>0</v>
      </c>
      <c r="R5" s="41">
        <f t="shared" ref="R5" si="11">Q5*1.1</f>
        <v>0</v>
      </c>
      <c r="S5" s="333"/>
      <c r="T5" s="40" t="s">
        <v>80</v>
      </c>
      <c r="U5" s="41">
        <f>G5</f>
        <v>5300000</v>
      </c>
      <c r="V5" s="41">
        <f>U5*1.2</f>
        <v>6360000</v>
      </c>
      <c r="W5" s="41">
        <f>V5*1.1</f>
        <v>6996000.0000000009</v>
      </c>
      <c r="X5" s="41">
        <f t="shared" ref="X5" si="12">W5*1.1</f>
        <v>7695600.0000000019</v>
      </c>
      <c r="Y5" s="41">
        <f t="shared" ref="Y5" si="13">X5*1.1</f>
        <v>8465160.0000000019</v>
      </c>
      <c r="Z5" s="333"/>
      <c r="AA5" s="40" t="s">
        <v>80</v>
      </c>
      <c r="AB5" s="41">
        <v>0</v>
      </c>
      <c r="AC5" s="41">
        <f>AB5*1.2</f>
        <v>0</v>
      </c>
      <c r="AD5" s="41">
        <f>AC5*1.1</f>
        <v>0</v>
      </c>
      <c r="AE5" s="41">
        <f t="shared" ref="AE5" si="14">AD5*1.1</f>
        <v>0</v>
      </c>
      <c r="AF5" s="41">
        <f t="shared" ref="AF5" si="15">AE5*1.1</f>
        <v>0</v>
      </c>
      <c r="AH5" s="435">
        <f>G5-SUM(N5,U5,AB5)</f>
        <v>0</v>
      </c>
      <c r="AI5" s="435">
        <f>H5-SUM(O5,V5,AC5)</f>
        <v>-1060000</v>
      </c>
      <c r="AJ5" s="435">
        <f>I5-SUM(P5,W5,AD5)</f>
        <v>-1696000.0000000009</v>
      </c>
      <c r="AK5" s="435">
        <f>J5-SUM(Q5,X5,AE5)</f>
        <v>-2395600.0000000019</v>
      </c>
      <c r="AL5" s="435">
        <f>K5-SUM(R5,Y5,AF5)</f>
        <v>-3165160.0000000019</v>
      </c>
      <c r="AM5" s="444"/>
      <c r="AN5" s="424">
        <f t="shared" ref="AN5:AR9" si="16">(G5-F5)/F5</f>
        <v>4.6102603969161292E-2</v>
      </c>
      <c r="AO5" s="424">
        <f t="shared" si="16"/>
        <v>0</v>
      </c>
      <c r="AP5" s="405">
        <f t="shared" si="16"/>
        <v>0</v>
      </c>
      <c r="AQ5" s="405">
        <f t="shared" si="16"/>
        <v>0</v>
      </c>
      <c r="AR5" s="405">
        <f t="shared" si="16"/>
        <v>0</v>
      </c>
    </row>
    <row r="6" spans="1:48" s="96" customFormat="1" outlineLevel="1">
      <c r="A6" s="39">
        <v>1200</v>
      </c>
      <c r="B6" s="40" t="s">
        <v>81</v>
      </c>
      <c r="C6" s="41">
        <f>'PLAN 2018'!C6</f>
        <v>10110672.111666599</v>
      </c>
      <c r="D6" s="41">
        <f>'PLAN 2018'!D6</f>
        <v>10964703.805</v>
      </c>
      <c r="E6" s="41">
        <f>'PLAN 2018'!E6</f>
        <v>12264240.465</v>
      </c>
      <c r="F6" s="41">
        <f>'PLAN 2018'!S6</f>
        <v>13548329.876915794</v>
      </c>
      <c r="G6" s="41">
        <f>'PLAN 2018'!AG6</f>
        <v>14294933.439901296</v>
      </c>
      <c r="H6" s="51">
        <f t="shared" ref="H6:K6" si="17">G6*$L6</f>
        <v>14294933.439901296</v>
      </c>
      <c r="I6" s="51">
        <f t="shared" si="17"/>
        <v>14294933.439901296</v>
      </c>
      <c r="J6" s="51">
        <f t="shared" si="17"/>
        <v>14294933.439901296</v>
      </c>
      <c r="K6" s="51">
        <f t="shared" si="17"/>
        <v>14294933.439901296</v>
      </c>
      <c r="L6" s="333">
        <v>1</v>
      </c>
      <c r="M6" s="40" t="s">
        <v>81</v>
      </c>
      <c r="N6" s="41">
        <v>0</v>
      </c>
      <c r="O6" s="41">
        <f>N6*1.3</f>
        <v>0</v>
      </c>
      <c r="P6" s="41">
        <f>O6*1.2</f>
        <v>0</v>
      </c>
      <c r="Q6" s="41">
        <f>P6*1.1</f>
        <v>0</v>
      </c>
      <c r="R6" s="41">
        <f>Q6*1.1</f>
        <v>0</v>
      </c>
      <c r="S6" s="333"/>
      <c r="T6" s="40" t="s">
        <v>81</v>
      </c>
      <c r="U6" s="41">
        <f>G6</f>
        <v>14294933.439901296</v>
      </c>
      <c r="V6" s="41">
        <f>U6*1.3</f>
        <v>18583413.471871685</v>
      </c>
      <c r="W6" s="41">
        <f>V6*1.2</f>
        <v>22300096.166246023</v>
      </c>
      <c r="X6" s="41">
        <f>W6*1.1</f>
        <v>24530105.782870628</v>
      </c>
      <c r="Y6" s="41">
        <f>X6*1.1</f>
        <v>26983116.361157693</v>
      </c>
      <c r="Z6" s="333"/>
      <c r="AA6" s="40" t="s">
        <v>81</v>
      </c>
      <c r="AB6" s="41">
        <v>0</v>
      </c>
      <c r="AC6" s="41">
        <f>AB6*1.3</f>
        <v>0</v>
      </c>
      <c r="AD6" s="41">
        <f>AC6*1.2</f>
        <v>0</v>
      </c>
      <c r="AE6" s="41">
        <f>AD6*1.1</f>
        <v>0</v>
      </c>
      <c r="AF6" s="41">
        <f>AE6*1.1</f>
        <v>0</v>
      </c>
      <c r="AH6" s="435">
        <f t="shared" ref="AH6:AL82" si="18">G6-SUM(N6,U6,AB6)</f>
        <v>0</v>
      </c>
      <c r="AI6" s="435">
        <f t="shared" si="18"/>
        <v>-4288480.0319703892</v>
      </c>
      <c r="AJ6" s="435">
        <f t="shared" si="18"/>
        <v>-8005162.726344727</v>
      </c>
      <c r="AK6" s="435">
        <f t="shared" si="18"/>
        <v>-10235172.342969332</v>
      </c>
      <c r="AL6" s="435">
        <f t="shared" si="18"/>
        <v>-12688182.921256397</v>
      </c>
      <c r="AM6" s="444"/>
      <c r="AN6" s="424">
        <f t="shared" si="16"/>
        <v>5.5106686194406611E-2</v>
      </c>
      <c r="AO6" s="424">
        <f t="shared" si="16"/>
        <v>0</v>
      </c>
      <c r="AP6" s="424">
        <f t="shared" si="16"/>
        <v>0</v>
      </c>
      <c r="AQ6" s="405">
        <f t="shared" si="16"/>
        <v>0</v>
      </c>
      <c r="AR6" s="405">
        <f t="shared" si="16"/>
        <v>0</v>
      </c>
    </row>
    <row r="7" spans="1:48" s="96" customFormat="1" outlineLevel="1">
      <c r="A7" s="42">
        <v>1300</v>
      </c>
      <c r="B7" s="43" t="s">
        <v>468</v>
      </c>
      <c r="C7" s="41">
        <f>'PLAN 2018'!C7</f>
        <v>3421091.8166666664</v>
      </c>
      <c r="D7" s="41">
        <f>'PLAN 2018'!D7</f>
        <v>4179925.625</v>
      </c>
      <c r="E7" s="41">
        <f>'PLAN 2018'!E7</f>
        <v>4053045.8450000002</v>
      </c>
      <c r="F7" s="41">
        <f>'PLAN 2018'!S7</f>
        <v>4096049.4764499995</v>
      </c>
      <c r="G7" s="41">
        <f>'PLAN 2018'!AG7</f>
        <v>4235731.1431166669</v>
      </c>
      <c r="H7" s="51">
        <f t="shared" ref="H7:K7" si="19">G7*$L7</f>
        <v>4235731.1431166669</v>
      </c>
      <c r="I7" s="51">
        <f t="shared" si="19"/>
        <v>4235731.1431166669</v>
      </c>
      <c r="J7" s="51">
        <f t="shared" si="19"/>
        <v>4235731.1431166669</v>
      </c>
      <c r="K7" s="51">
        <f t="shared" si="19"/>
        <v>4235731.1431166669</v>
      </c>
      <c r="L7" s="333">
        <v>1</v>
      </c>
      <c r="M7" s="43" t="s">
        <v>82</v>
      </c>
      <c r="N7" s="41">
        <v>0</v>
      </c>
      <c r="O7" s="41">
        <f>N7*1.1</f>
        <v>0</v>
      </c>
      <c r="P7" s="41">
        <f t="shared" ref="P7" si="20">O7*1.1</f>
        <v>0</v>
      </c>
      <c r="Q7" s="41">
        <f t="shared" ref="Q7" si="21">P7*1.1</f>
        <v>0</v>
      </c>
      <c r="R7" s="41">
        <f t="shared" ref="R7" si="22">Q7*1.1</f>
        <v>0</v>
      </c>
      <c r="S7" s="333"/>
      <c r="T7" s="43" t="s">
        <v>82</v>
      </c>
      <c r="U7" s="41">
        <f>G7</f>
        <v>4235731.1431166669</v>
      </c>
      <c r="V7" s="41">
        <f>U7*1.1</f>
        <v>4659304.2574283341</v>
      </c>
      <c r="W7" s="41">
        <f t="shared" ref="W7" si="23">V7*1.1</f>
        <v>5125234.683171168</v>
      </c>
      <c r="X7" s="41">
        <f t="shared" ref="X7" si="24">W7*1.1</f>
        <v>5637758.1514882855</v>
      </c>
      <c r="Y7" s="41">
        <f t="shared" ref="Y7" si="25">X7*1.1</f>
        <v>6201533.966637115</v>
      </c>
      <c r="Z7" s="333"/>
      <c r="AA7" s="43" t="s">
        <v>82</v>
      </c>
      <c r="AB7" s="41">
        <v>0</v>
      </c>
      <c r="AC7" s="41">
        <f>AB7*1.1</f>
        <v>0</v>
      </c>
      <c r="AD7" s="41">
        <f t="shared" ref="AD7" si="26">AC7*1.1</f>
        <v>0</v>
      </c>
      <c r="AE7" s="41">
        <f t="shared" ref="AE7" si="27">AD7*1.1</f>
        <v>0</v>
      </c>
      <c r="AF7" s="41">
        <f t="shared" ref="AF7" si="28">AE7*1.1</f>
        <v>0</v>
      </c>
      <c r="AH7" s="435">
        <f t="shared" si="18"/>
        <v>0</v>
      </c>
      <c r="AI7" s="435">
        <f t="shared" si="18"/>
        <v>-423573.11431166716</v>
      </c>
      <c r="AJ7" s="435">
        <f t="shared" si="18"/>
        <v>-889503.54005450103</v>
      </c>
      <c r="AK7" s="435">
        <f t="shared" si="18"/>
        <v>-1402027.0083716186</v>
      </c>
      <c r="AL7" s="435">
        <f t="shared" si="18"/>
        <v>-1965802.8235204481</v>
      </c>
      <c r="AM7" s="444"/>
      <c r="AN7" s="405">
        <f t="shared" si="16"/>
        <v>3.4101557481119101E-2</v>
      </c>
      <c r="AO7" s="405">
        <f t="shared" si="16"/>
        <v>0</v>
      </c>
      <c r="AP7" s="405">
        <f t="shared" si="16"/>
        <v>0</v>
      </c>
      <c r="AQ7" s="405">
        <f t="shared" si="16"/>
        <v>0</v>
      </c>
      <c r="AR7" s="405">
        <f t="shared" si="16"/>
        <v>0</v>
      </c>
    </row>
    <row r="8" spans="1:48" s="96" customFormat="1" outlineLevel="1">
      <c r="A8" s="42">
        <v>1400</v>
      </c>
      <c r="B8" s="43" t="s">
        <v>469</v>
      </c>
      <c r="C8" s="41">
        <f>'PLAN 2018'!C8</f>
        <v>680610.0033333333</v>
      </c>
      <c r="D8" s="41">
        <f>'PLAN 2018'!D8</f>
        <v>638828.23666666669</v>
      </c>
      <c r="E8" s="41">
        <f>'PLAN 2018'!E8</f>
        <v>605168.72166666656</v>
      </c>
      <c r="F8" s="41">
        <f>'PLAN 2018'!S8</f>
        <v>869825.29684817349</v>
      </c>
      <c r="G8" s="41">
        <f>'PLAN 2018'!AG8</f>
        <v>869825.29684817349</v>
      </c>
      <c r="H8" s="51">
        <f t="shared" ref="H8:J8" si="29">G8*$L8</f>
        <v>869825.29684817349</v>
      </c>
      <c r="I8" s="51">
        <f t="shared" si="29"/>
        <v>869825.29684817349</v>
      </c>
      <c r="J8" s="51">
        <f t="shared" si="29"/>
        <v>869825.29684817349</v>
      </c>
      <c r="K8" s="51">
        <f>J8*$L8</f>
        <v>869825.29684817349</v>
      </c>
      <c r="L8" s="333">
        <v>1</v>
      </c>
      <c r="M8" s="43" t="s">
        <v>83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333"/>
      <c r="T8" s="43" t="s">
        <v>83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333"/>
      <c r="AA8" s="43" t="s">
        <v>83</v>
      </c>
      <c r="AB8" s="41">
        <f>G8</f>
        <v>869825.29684817349</v>
      </c>
      <c r="AC8" s="41">
        <f t="shared" ref="AC8:AF8" si="30">H8</f>
        <v>869825.29684817349</v>
      </c>
      <c r="AD8" s="41">
        <f t="shared" si="30"/>
        <v>869825.29684817349</v>
      </c>
      <c r="AE8" s="41">
        <f t="shared" si="30"/>
        <v>869825.29684817349</v>
      </c>
      <c r="AF8" s="41">
        <f t="shared" si="30"/>
        <v>869825.29684817349</v>
      </c>
      <c r="AH8" s="435">
        <f t="shared" si="18"/>
        <v>0</v>
      </c>
      <c r="AI8" s="435">
        <f t="shared" si="18"/>
        <v>0</v>
      </c>
      <c r="AJ8" s="435">
        <f t="shared" si="18"/>
        <v>0</v>
      </c>
      <c r="AK8" s="435">
        <f t="shared" si="18"/>
        <v>0</v>
      </c>
      <c r="AL8" s="435">
        <f t="shared" si="18"/>
        <v>0</v>
      </c>
      <c r="AM8" s="444"/>
      <c r="AN8" s="405">
        <f t="shared" si="16"/>
        <v>0</v>
      </c>
      <c r="AO8" s="405">
        <f t="shared" si="16"/>
        <v>0</v>
      </c>
      <c r="AP8" s="405">
        <f t="shared" si="16"/>
        <v>0</v>
      </c>
      <c r="AQ8" s="405">
        <f t="shared" si="16"/>
        <v>0</v>
      </c>
      <c r="AR8" s="405">
        <f t="shared" si="16"/>
        <v>0</v>
      </c>
    </row>
    <row r="9" spans="1:48" s="239" customFormat="1" outlineLevel="1">
      <c r="A9" s="236">
        <v>1500</v>
      </c>
      <c r="B9" s="43" t="s">
        <v>84</v>
      </c>
      <c r="C9" s="51">
        <f>'PLAN 2018'!C9</f>
        <v>167651.14000000001</v>
      </c>
      <c r="D9" s="51">
        <f>'PLAN 2018'!D9</f>
        <v>136331.57500000001</v>
      </c>
      <c r="E9" s="51">
        <f>'PLAN 2018'!E9</f>
        <v>83023.403333333335</v>
      </c>
      <c r="F9" s="51">
        <f>'PLAN 2018'!S9</f>
        <v>818761.99999999965</v>
      </c>
      <c r="G9" s="51">
        <f>'PLAN 2018'!AG9</f>
        <v>604440</v>
      </c>
      <c r="H9" s="51">
        <f t="shared" ref="H9:K9" si="31">G9*$L9</f>
        <v>604440</v>
      </c>
      <c r="I9" s="51">
        <f t="shared" si="31"/>
        <v>604440</v>
      </c>
      <c r="J9" s="51">
        <f t="shared" si="31"/>
        <v>604440</v>
      </c>
      <c r="K9" s="51">
        <f t="shared" si="31"/>
        <v>604440</v>
      </c>
      <c r="L9" s="333">
        <v>1</v>
      </c>
      <c r="M9" s="237" t="s">
        <v>84</v>
      </c>
      <c r="N9" s="51">
        <f>G9</f>
        <v>604440</v>
      </c>
      <c r="O9" s="51">
        <f>H9</f>
        <v>604440</v>
      </c>
      <c r="P9" s="51">
        <f t="shared" ref="P9:R9" si="32">I9</f>
        <v>604440</v>
      </c>
      <c r="Q9" s="51">
        <f t="shared" si="32"/>
        <v>604440</v>
      </c>
      <c r="R9" s="51">
        <f t="shared" si="32"/>
        <v>604440</v>
      </c>
      <c r="S9" s="426"/>
      <c r="T9" s="237" t="s">
        <v>84</v>
      </c>
      <c r="U9" s="51">
        <v>0</v>
      </c>
      <c r="V9" s="51">
        <f>U9*1.3</f>
        <v>0</v>
      </c>
      <c r="W9" s="51">
        <f t="shared" ref="W9" si="33">V9*1.3</f>
        <v>0</v>
      </c>
      <c r="X9" s="51">
        <f t="shared" ref="X9" si="34">W9*1.3</f>
        <v>0</v>
      </c>
      <c r="Y9" s="51">
        <f t="shared" ref="Y9" si="35">X9*1.3</f>
        <v>0</v>
      </c>
      <c r="Z9" s="426"/>
      <c r="AA9" s="237" t="s">
        <v>84</v>
      </c>
      <c r="AB9" s="51">
        <v>0</v>
      </c>
      <c r="AC9" s="51">
        <f>AB9*1.3</f>
        <v>0</v>
      </c>
      <c r="AD9" s="51">
        <f t="shared" ref="AD9" si="36">AC9*1.3</f>
        <v>0</v>
      </c>
      <c r="AE9" s="51">
        <f t="shared" ref="AE9" si="37">AD9*1.3</f>
        <v>0</v>
      </c>
      <c r="AF9" s="51">
        <f t="shared" ref="AF9" si="38">AE9*1.3</f>
        <v>0</v>
      </c>
      <c r="AH9" s="439">
        <f t="shared" si="18"/>
        <v>0</v>
      </c>
      <c r="AI9" s="439">
        <f t="shared" si="18"/>
        <v>0</v>
      </c>
      <c r="AJ9" s="439">
        <f t="shared" si="18"/>
        <v>0</v>
      </c>
      <c r="AK9" s="439">
        <f t="shared" si="18"/>
        <v>0</v>
      </c>
      <c r="AL9" s="439">
        <f t="shared" si="18"/>
        <v>0</v>
      </c>
      <c r="AM9" s="444"/>
      <c r="AN9" s="427">
        <f t="shared" si="16"/>
        <v>-0.26176349171065555</v>
      </c>
      <c r="AO9" s="427">
        <f t="shared" si="16"/>
        <v>0</v>
      </c>
      <c r="AP9" s="427">
        <f t="shared" si="16"/>
        <v>0</v>
      </c>
      <c r="AQ9" s="427">
        <f t="shared" si="16"/>
        <v>0</v>
      </c>
      <c r="AR9" s="427">
        <f t="shared" si="16"/>
        <v>0</v>
      </c>
    </row>
    <row r="10" spans="1:48" s="96" customFormat="1" outlineLevel="1">
      <c r="A10" s="42"/>
      <c r="B10" s="43"/>
      <c r="C10" s="51"/>
      <c r="D10" s="51"/>
      <c r="E10" s="51"/>
      <c r="F10" s="51"/>
      <c r="G10" s="51"/>
      <c r="H10" s="51"/>
      <c r="I10" s="51"/>
      <c r="J10" s="51"/>
      <c r="K10" s="51"/>
      <c r="L10" s="333"/>
      <c r="M10" s="43"/>
      <c r="N10" s="51">
        <f>1.5%*U13+1%*AB13</f>
        <v>366158.22171375121</v>
      </c>
      <c r="O10" s="51">
        <f>1.5%*V13+1%*AC13</f>
        <v>452739.01890798198</v>
      </c>
      <c r="P10" s="51">
        <f>1.5%*W13+1%*AD13</f>
        <v>525018.2157097396</v>
      </c>
      <c r="Q10" s="51">
        <f>1.5%*X13+1%*AE13</f>
        <v>576650.21198386536</v>
      </c>
      <c r="R10" s="51">
        <f>1.5%*Y13+1%*AF13</f>
        <v>633445.40788540384</v>
      </c>
      <c r="S10" s="333"/>
      <c r="T10" s="43"/>
      <c r="U10" s="51"/>
      <c r="V10" s="51"/>
      <c r="W10" s="51"/>
      <c r="X10" s="51"/>
      <c r="Y10" s="51"/>
      <c r="Z10" s="333"/>
      <c r="AA10" s="43"/>
      <c r="AB10" s="51"/>
      <c r="AC10" s="51"/>
      <c r="AD10" s="51"/>
      <c r="AE10" s="51"/>
      <c r="AF10" s="51"/>
      <c r="AH10" s="435">
        <f t="shared" si="18"/>
        <v>-366158.22171375121</v>
      </c>
      <c r="AI10" s="435">
        <f t="shared" si="18"/>
        <v>-452739.01890798198</v>
      </c>
      <c r="AJ10" s="435">
        <f t="shared" si="18"/>
        <v>-525018.2157097396</v>
      </c>
      <c r="AK10" s="435">
        <f t="shared" si="18"/>
        <v>-576650.21198386536</v>
      </c>
      <c r="AL10" s="435">
        <f t="shared" si="18"/>
        <v>-633445.40788540384</v>
      </c>
      <c r="AM10" s="444"/>
    </row>
    <row r="11" spans="1:48" s="96" customFormat="1" outlineLevel="1">
      <c r="A11" s="42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333"/>
      <c r="M11" s="43"/>
      <c r="N11" s="44" t="e">
        <f>SUM(N49,N59,N73,N75)*1.03</f>
        <v>#REF!</v>
      </c>
      <c r="O11" s="44" t="e">
        <f>SUM(O49,O59,O73,O75)*1.03</f>
        <v>#REF!</v>
      </c>
      <c r="P11" s="44" t="e">
        <f>SUM(P49,P59,P73,P75)*1.03</f>
        <v>#REF!</v>
      </c>
      <c r="Q11" s="44" t="e">
        <f>SUM(Q49,Q59,Q73,Q75)*1.03</f>
        <v>#REF!</v>
      </c>
      <c r="R11" s="44" t="e">
        <f>SUM(R49,R59,R73,R75)*1.03</f>
        <v>#REF!</v>
      </c>
      <c r="S11" s="333"/>
      <c r="T11" s="43"/>
      <c r="U11" s="44">
        <v>0</v>
      </c>
      <c r="V11" s="44"/>
      <c r="W11" s="44"/>
      <c r="X11" s="44"/>
      <c r="Y11" s="44"/>
      <c r="Z11" s="333"/>
      <c r="AA11" s="43"/>
      <c r="AB11" s="44">
        <v>0</v>
      </c>
      <c r="AC11" s="44"/>
      <c r="AD11" s="44"/>
      <c r="AE11" s="44"/>
      <c r="AF11" s="44"/>
      <c r="AH11" s="448" t="e">
        <f t="shared" si="18"/>
        <v>#REF!</v>
      </c>
      <c r="AI11" s="448" t="e">
        <f t="shared" si="18"/>
        <v>#REF!</v>
      </c>
      <c r="AJ11" s="448" t="e">
        <f t="shared" si="18"/>
        <v>#REF!</v>
      </c>
      <c r="AK11" s="448" t="e">
        <f t="shared" si="18"/>
        <v>#REF!</v>
      </c>
      <c r="AL11" s="448" t="e">
        <f t="shared" ref="AL11:AL82" si="39">K11-SUM(R11,Y11,AF11)</f>
        <v>#REF!</v>
      </c>
      <c r="AM11" s="444"/>
      <c r="AN11" s="405"/>
      <c r="AO11" s="405"/>
      <c r="AP11" s="405"/>
      <c r="AQ11" s="405"/>
      <c r="AR11" s="405"/>
    </row>
    <row r="12" spans="1:48" s="97" customFormat="1" ht="16.5" outlineLevel="1" thickBot="1">
      <c r="A12" s="42"/>
      <c r="B12" s="43"/>
      <c r="C12" s="51"/>
      <c r="D12" s="51"/>
      <c r="E12" s="51"/>
      <c r="F12" s="51"/>
      <c r="G12" s="51"/>
      <c r="H12" s="51"/>
      <c r="I12" s="51"/>
      <c r="J12" s="51"/>
      <c r="K12" s="51"/>
      <c r="L12" s="337"/>
      <c r="M12" s="43"/>
      <c r="N12" s="425"/>
      <c r="O12" s="51"/>
      <c r="P12" s="51"/>
      <c r="Q12" s="51"/>
      <c r="R12" s="51"/>
      <c r="S12" s="337"/>
      <c r="T12" s="43"/>
      <c r="U12" s="51"/>
      <c r="V12" s="51"/>
      <c r="W12" s="51"/>
      <c r="X12" s="51"/>
      <c r="Y12" s="51"/>
      <c r="Z12" s="337"/>
      <c r="AA12" s="43"/>
      <c r="AB12" s="51"/>
      <c r="AC12" s="51"/>
      <c r="AD12" s="51"/>
      <c r="AE12" s="51"/>
      <c r="AF12" s="51"/>
      <c r="AH12" s="440" t="e">
        <f>SUM(AH5:AH11)</f>
        <v>#REF!</v>
      </c>
      <c r="AI12" s="440" t="e">
        <f>SUM(AI5:AI11)</f>
        <v>#REF!</v>
      </c>
      <c r="AJ12" s="440" t="e">
        <f>SUM(AJ5:AJ11)</f>
        <v>#REF!</v>
      </c>
      <c r="AK12" s="440" t="e">
        <f>SUM(AK5:AK11)</f>
        <v>#REF!</v>
      </c>
      <c r="AL12" s="440" t="e">
        <f>SUM(AL5:AL11)</f>
        <v>#REF!</v>
      </c>
      <c r="AM12" s="444"/>
      <c r="AT12" s="97" t="s">
        <v>446</v>
      </c>
    </row>
    <row r="13" spans="1:48" s="100" customFormat="1" ht="15.75" thickBot="1">
      <c r="A13" s="122">
        <v>9000</v>
      </c>
      <c r="B13" s="123" t="s">
        <v>1</v>
      </c>
      <c r="C13" s="124">
        <f>'PLAN 2018'!C10</f>
        <v>18429875.153333265</v>
      </c>
      <c r="D13" s="124">
        <f>'PLAN 2018'!D10</f>
        <v>20379538.336666666</v>
      </c>
      <c r="E13" s="124">
        <f>'PLAN 2018'!E10</f>
        <v>22303500.118333332</v>
      </c>
      <c r="F13" s="124">
        <f t="shared" ref="F13:K13" si="40">SUM(F5:F9)</f>
        <v>24399391.281880636</v>
      </c>
      <c r="G13" s="128">
        <f t="shared" si="40"/>
        <v>25304929.879866138</v>
      </c>
      <c r="H13" s="128">
        <f t="shared" si="40"/>
        <v>25304929.879866138</v>
      </c>
      <c r="I13" s="128">
        <f t="shared" si="40"/>
        <v>25304929.879866138</v>
      </c>
      <c r="J13" s="128">
        <f t="shared" si="40"/>
        <v>25304929.879866138</v>
      </c>
      <c r="K13" s="128">
        <f t="shared" si="40"/>
        <v>25304929.879866138</v>
      </c>
      <c r="L13" s="421">
        <f>K13/F13-1</f>
        <v>3.7113163501663715E-2</v>
      </c>
      <c r="M13" s="419" t="s">
        <v>1</v>
      </c>
      <c r="N13" s="128" t="e">
        <f>SUM(N5:N11)</f>
        <v>#REF!</v>
      </c>
      <c r="O13" s="128" t="e">
        <f t="shared" ref="O13:R13" si="41">SUM(O5:O11)</f>
        <v>#REF!</v>
      </c>
      <c r="P13" s="128" t="e">
        <f t="shared" si="41"/>
        <v>#REF!</v>
      </c>
      <c r="Q13" s="128" t="e">
        <f t="shared" si="41"/>
        <v>#REF!</v>
      </c>
      <c r="R13" s="128" t="e">
        <f t="shared" si="41"/>
        <v>#REF!</v>
      </c>
      <c r="S13" s="418"/>
      <c r="T13" s="419" t="s">
        <v>1</v>
      </c>
      <c r="U13" s="128">
        <f>SUM(U5:U11)</f>
        <v>23830664.583017964</v>
      </c>
      <c r="V13" s="128">
        <f>SUM(V5:V9)</f>
        <v>29602717.729300018</v>
      </c>
      <c r="W13" s="128">
        <f>SUM(W5:W9)</f>
        <v>34421330.849417195</v>
      </c>
      <c r="X13" s="128">
        <f>SUM(X5:X9)</f>
        <v>37863463.93435891</v>
      </c>
      <c r="Y13" s="128">
        <f>SUM(Y5:Y9)</f>
        <v>41649810.327794805</v>
      </c>
      <c r="Z13" s="418"/>
      <c r="AA13" s="419" t="s">
        <v>1</v>
      </c>
      <c r="AB13" s="128">
        <f>SUM(AB5:AB11)</f>
        <v>869825.29684817349</v>
      </c>
      <c r="AC13" s="128">
        <f>SUM(AC5:AC9)</f>
        <v>869825.29684817349</v>
      </c>
      <c r="AD13" s="128">
        <f>SUM(AD5:AD9)</f>
        <v>869825.29684817349</v>
      </c>
      <c r="AE13" s="128">
        <f>SUM(AE5:AE9)</f>
        <v>869825.29684817349</v>
      </c>
      <c r="AF13" s="128">
        <f>SUM(AF5:AF9)</f>
        <v>869825.29684817349</v>
      </c>
      <c r="AG13" s="420"/>
      <c r="AH13" s="440" t="e">
        <f t="shared" si="18"/>
        <v>#REF!</v>
      </c>
      <c r="AI13" s="440" t="e">
        <f t="shared" si="18"/>
        <v>#REF!</v>
      </c>
      <c r="AJ13" s="440" t="e">
        <f t="shared" si="18"/>
        <v>#REF!</v>
      </c>
      <c r="AK13" s="440" t="e">
        <f t="shared" si="18"/>
        <v>#REF!</v>
      </c>
      <c r="AL13" s="440" t="e">
        <f t="shared" si="39"/>
        <v>#REF!</v>
      </c>
      <c r="AM13" s="444"/>
      <c r="AN13" s="421">
        <f t="shared" ref="AN13:AR17" si="42">(G13-F13)/F13</f>
        <v>3.7113163501663639E-2</v>
      </c>
      <c r="AO13" s="421">
        <f t="shared" si="42"/>
        <v>0</v>
      </c>
      <c r="AP13" s="421">
        <f t="shared" si="42"/>
        <v>0</v>
      </c>
      <c r="AQ13" s="347">
        <f t="shared" si="42"/>
        <v>0</v>
      </c>
      <c r="AR13" s="347">
        <f t="shared" si="42"/>
        <v>0</v>
      </c>
      <c r="AT13" s="432">
        <f>U13+AB13</f>
        <v>24700489.879866138</v>
      </c>
      <c r="AU13" s="433">
        <f>U13/AT13+0.04</f>
        <v>1.0047850993612404</v>
      </c>
      <c r="AV13" s="434">
        <f>1-AU13</f>
        <v>-4.7850993612403858E-3</v>
      </c>
    </row>
    <row r="14" spans="1:48" s="96" customFormat="1" ht="23.1" customHeight="1" outlineLevel="1">
      <c r="A14" s="42">
        <v>2110</v>
      </c>
      <c r="B14" s="43" t="s">
        <v>85</v>
      </c>
      <c r="C14" s="41">
        <f>'PLAN 2018'!C11</f>
        <v>1250767.7458333301</v>
      </c>
      <c r="D14" s="41">
        <f>'PLAN 2018'!D11</f>
        <v>1231549.92722222</v>
      </c>
      <c r="E14" s="41">
        <f>'PLAN 2018'!E11</f>
        <v>1275488.36611111</v>
      </c>
      <c r="F14" s="41">
        <f>'PLAN 2018'!S11</f>
        <v>1266606.1579166669</v>
      </c>
      <c r="G14" s="41">
        <f>'PLAN 2018'!AG11</f>
        <v>1484000</v>
      </c>
      <c r="H14" s="41">
        <f t="shared" ref="H14:K16" si="43">$L14*H$5</f>
        <v>0</v>
      </c>
      <c r="I14" s="41">
        <f t="shared" si="43"/>
        <v>0</v>
      </c>
      <c r="J14" s="41">
        <f t="shared" si="43"/>
        <v>0</v>
      </c>
      <c r="K14" s="41">
        <f t="shared" si="43"/>
        <v>0</v>
      </c>
      <c r="L14" s="125">
        <v>0</v>
      </c>
      <c r="M14" s="43" t="s">
        <v>85</v>
      </c>
      <c r="N14" s="41">
        <v>0</v>
      </c>
      <c r="O14" s="41">
        <v>0</v>
      </c>
      <c r="P14" s="41">
        <f t="shared" ref="O14:R16" si="44">$L14*P$5</f>
        <v>0</v>
      </c>
      <c r="Q14" s="41">
        <f t="shared" si="44"/>
        <v>0</v>
      </c>
      <c r="R14" s="41">
        <f t="shared" si="44"/>
        <v>0</v>
      </c>
      <c r="S14" s="422"/>
      <c r="T14" s="43" t="s">
        <v>85</v>
      </c>
      <c r="U14" s="41">
        <f>G14</f>
        <v>1484000</v>
      </c>
      <c r="V14" s="41">
        <f t="shared" ref="V14:Y16" si="45">$L14*V$5</f>
        <v>0</v>
      </c>
      <c r="W14" s="41">
        <f t="shared" si="45"/>
        <v>0</v>
      </c>
      <c r="X14" s="41">
        <f t="shared" si="45"/>
        <v>0</v>
      </c>
      <c r="Y14" s="41">
        <f t="shared" si="45"/>
        <v>0</v>
      </c>
      <c r="Z14" s="422"/>
      <c r="AA14" s="43" t="s">
        <v>85</v>
      </c>
      <c r="AB14" s="41">
        <v>0</v>
      </c>
      <c r="AC14" s="41">
        <f t="shared" ref="AC14:AF16" si="46">$L14*AC$5</f>
        <v>0</v>
      </c>
      <c r="AD14" s="41">
        <f t="shared" si="46"/>
        <v>0</v>
      </c>
      <c r="AE14" s="41">
        <f t="shared" si="46"/>
        <v>0</v>
      </c>
      <c r="AF14" s="41">
        <f t="shared" si="46"/>
        <v>0</v>
      </c>
      <c r="AG14" s="97"/>
      <c r="AH14" s="440">
        <f t="shared" si="18"/>
        <v>0</v>
      </c>
      <c r="AI14" s="440">
        <f t="shared" si="18"/>
        <v>0</v>
      </c>
      <c r="AJ14" s="440">
        <f t="shared" si="18"/>
        <v>0</v>
      </c>
      <c r="AK14" s="440">
        <f t="shared" si="18"/>
        <v>0</v>
      </c>
      <c r="AL14" s="440">
        <f t="shared" si="39"/>
        <v>0</v>
      </c>
      <c r="AM14" s="444"/>
      <c r="AN14" s="423">
        <f t="shared" si="42"/>
        <v>0.17163491644546064</v>
      </c>
      <c r="AO14" s="423">
        <f t="shared" si="42"/>
        <v>-1</v>
      </c>
      <c r="AP14" s="423" t="e">
        <f t="shared" si="42"/>
        <v>#DIV/0!</v>
      </c>
      <c r="AQ14" s="405" t="e">
        <f t="shared" si="42"/>
        <v>#DIV/0!</v>
      </c>
      <c r="AR14" s="405" t="e">
        <f t="shared" si="42"/>
        <v>#DIV/0!</v>
      </c>
    </row>
    <row r="15" spans="1:48" s="96" customFormat="1" outlineLevel="1">
      <c r="A15" s="42">
        <v>2120</v>
      </c>
      <c r="B15" s="43" t="s">
        <v>86</v>
      </c>
      <c r="C15" s="41">
        <f>'PLAN 2018'!C12</f>
        <v>1865182.1016666666</v>
      </c>
      <c r="D15" s="41">
        <f>'PLAN 2018'!D12</f>
        <v>2163546</v>
      </c>
      <c r="E15" s="41">
        <f>'PLAN 2018'!E12</f>
        <v>2371983.8333333335</v>
      </c>
      <c r="F15" s="41">
        <f>'PLAN 2018'!S12</f>
        <v>2279891.0842500003</v>
      </c>
      <c r="G15" s="41">
        <f>'PLAN 2018'!AG12</f>
        <v>2651640.2000000007</v>
      </c>
      <c r="H15" s="41">
        <f t="shared" si="43"/>
        <v>0</v>
      </c>
      <c r="I15" s="41">
        <f t="shared" si="43"/>
        <v>0</v>
      </c>
      <c r="J15" s="41">
        <f t="shared" si="43"/>
        <v>0</v>
      </c>
      <c r="K15" s="41">
        <f t="shared" si="43"/>
        <v>0</v>
      </c>
      <c r="L15" s="125">
        <v>0</v>
      </c>
      <c r="M15" s="43" t="s">
        <v>86</v>
      </c>
      <c r="N15" s="41">
        <v>0</v>
      </c>
      <c r="O15" s="41">
        <f t="shared" si="44"/>
        <v>0</v>
      </c>
      <c r="P15" s="41">
        <f t="shared" si="44"/>
        <v>0</v>
      </c>
      <c r="Q15" s="41">
        <f t="shared" si="44"/>
        <v>0</v>
      </c>
      <c r="R15" s="41">
        <f t="shared" si="44"/>
        <v>0</v>
      </c>
      <c r="S15" s="422"/>
      <c r="T15" s="43" t="s">
        <v>86</v>
      </c>
      <c r="U15" s="41">
        <f t="shared" ref="U15:U16" si="47">G15</f>
        <v>2651640.2000000007</v>
      </c>
      <c r="V15" s="41">
        <f t="shared" si="45"/>
        <v>0</v>
      </c>
      <c r="W15" s="41">
        <f t="shared" si="45"/>
        <v>0</v>
      </c>
      <c r="X15" s="41">
        <f t="shared" si="45"/>
        <v>0</v>
      </c>
      <c r="Y15" s="41">
        <f t="shared" si="45"/>
        <v>0</v>
      </c>
      <c r="Z15" s="422"/>
      <c r="AA15" s="43" t="s">
        <v>86</v>
      </c>
      <c r="AB15" s="41">
        <v>0</v>
      </c>
      <c r="AC15" s="41">
        <f t="shared" si="46"/>
        <v>0</v>
      </c>
      <c r="AD15" s="41">
        <f t="shared" si="46"/>
        <v>0</v>
      </c>
      <c r="AE15" s="41">
        <f t="shared" si="46"/>
        <v>0</v>
      </c>
      <c r="AF15" s="41">
        <f t="shared" si="46"/>
        <v>0</v>
      </c>
      <c r="AG15" s="97"/>
      <c r="AH15" s="440">
        <f t="shared" si="18"/>
        <v>0</v>
      </c>
      <c r="AI15" s="440">
        <f t="shared" si="18"/>
        <v>0</v>
      </c>
      <c r="AJ15" s="440">
        <f t="shared" si="18"/>
        <v>0</v>
      </c>
      <c r="AK15" s="440">
        <f t="shared" si="18"/>
        <v>0</v>
      </c>
      <c r="AL15" s="440">
        <f t="shared" si="39"/>
        <v>0</v>
      </c>
      <c r="AM15" s="444"/>
      <c r="AN15" s="423">
        <f t="shared" si="42"/>
        <v>0.16305564696407066</v>
      </c>
      <c r="AO15" s="423">
        <f t="shared" si="42"/>
        <v>-1</v>
      </c>
      <c r="AP15" s="423" t="e">
        <f t="shared" si="42"/>
        <v>#DIV/0!</v>
      </c>
      <c r="AQ15" s="405" t="e">
        <f t="shared" si="42"/>
        <v>#DIV/0!</v>
      </c>
      <c r="AR15" s="405" t="e">
        <f t="shared" si="42"/>
        <v>#DIV/0!</v>
      </c>
    </row>
    <row r="16" spans="1:48" s="96" customFormat="1" outlineLevel="1">
      <c r="A16" s="42">
        <v>2130</v>
      </c>
      <c r="B16" s="43" t="s">
        <v>87</v>
      </c>
      <c r="C16" s="44">
        <f>'PLAN 2018'!C13</f>
        <v>18768.338333333333</v>
      </c>
      <c r="D16" s="44">
        <f>'PLAN 2018'!D13</f>
        <v>86383.333333333328</v>
      </c>
      <c r="E16" s="44">
        <f>'PLAN 2018'!E13</f>
        <v>30086.666666666668</v>
      </c>
      <c r="F16" s="44">
        <f>'PLAN 2018'!S13</f>
        <v>416727.45333333331</v>
      </c>
      <c r="G16" s="44">
        <f>'PLAN 2018'!AG13</f>
        <v>424000</v>
      </c>
      <c r="H16" s="44">
        <f t="shared" si="43"/>
        <v>0</v>
      </c>
      <c r="I16" s="44">
        <f t="shared" si="43"/>
        <v>0</v>
      </c>
      <c r="J16" s="44">
        <f t="shared" si="43"/>
        <v>0</v>
      </c>
      <c r="K16" s="44">
        <f t="shared" si="43"/>
        <v>0</v>
      </c>
      <c r="L16" s="125">
        <v>0</v>
      </c>
      <c r="M16" s="43" t="s">
        <v>87</v>
      </c>
      <c r="N16" s="44">
        <v>0</v>
      </c>
      <c r="O16" s="44">
        <f t="shared" si="44"/>
        <v>0</v>
      </c>
      <c r="P16" s="44">
        <f t="shared" si="44"/>
        <v>0</v>
      </c>
      <c r="Q16" s="44">
        <f t="shared" si="44"/>
        <v>0</v>
      </c>
      <c r="R16" s="44">
        <f t="shared" si="44"/>
        <v>0</v>
      </c>
      <c r="S16" s="422"/>
      <c r="T16" s="43" t="s">
        <v>87</v>
      </c>
      <c r="U16" s="44">
        <f t="shared" si="47"/>
        <v>424000</v>
      </c>
      <c r="V16" s="44">
        <f t="shared" si="45"/>
        <v>0</v>
      </c>
      <c r="W16" s="44">
        <f t="shared" si="45"/>
        <v>0</v>
      </c>
      <c r="X16" s="44">
        <f t="shared" si="45"/>
        <v>0</v>
      </c>
      <c r="Y16" s="44">
        <f t="shared" si="45"/>
        <v>0</v>
      </c>
      <c r="Z16" s="422"/>
      <c r="AA16" s="43" t="s">
        <v>87</v>
      </c>
      <c r="AB16" s="44">
        <v>0</v>
      </c>
      <c r="AC16" s="44">
        <f t="shared" si="46"/>
        <v>0</v>
      </c>
      <c r="AD16" s="44">
        <f t="shared" si="46"/>
        <v>0</v>
      </c>
      <c r="AE16" s="44">
        <f t="shared" si="46"/>
        <v>0</v>
      </c>
      <c r="AF16" s="44">
        <f t="shared" si="46"/>
        <v>0</v>
      </c>
      <c r="AG16" s="97"/>
      <c r="AH16" s="449">
        <f t="shared" si="18"/>
        <v>0</v>
      </c>
      <c r="AI16" s="449">
        <f t="shared" si="18"/>
        <v>0</v>
      </c>
      <c r="AJ16" s="449">
        <f t="shared" si="18"/>
        <v>0</v>
      </c>
      <c r="AK16" s="449">
        <f t="shared" si="18"/>
        <v>0</v>
      </c>
      <c r="AL16" s="449">
        <f t="shared" si="39"/>
        <v>0</v>
      </c>
      <c r="AM16" s="444"/>
      <c r="AN16" s="423">
        <f t="shared" si="42"/>
        <v>1.7451566025935668E-2</v>
      </c>
      <c r="AO16" s="423">
        <f t="shared" si="42"/>
        <v>-1</v>
      </c>
      <c r="AP16" s="423" t="e">
        <f t="shared" si="42"/>
        <v>#DIV/0!</v>
      </c>
      <c r="AQ16" s="405" t="e">
        <f t="shared" si="42"/>
        <v>#DIV/0!</v>
      </c>
      <c r="AR16" s="405" t="e">
        <f t="shared" si="42"/>
        <v>#DIV/0!</v>
      </c>
    </row>
    <row r="17" spans="1:44" s="96" customFormat="1" outlineLevel="1">
      <c r="A17" s="45">
        <v>9110</v>
      </c>
      <c r="B17" s="46" t="s">
        <v>88</v>
      </c>
      <c r="C17" s="107">
        <f>'PLAN 2018'!C14</f>
        <v>3134718.1858333298</v>
      </c>
      <c r="D17" s="107">
        <f>'PLAN 2018'!D14</f>
        <v>3481479.2605555537</v>
      </c>
      <c r="E17" s="107">
        <f>'PLAN 2018'!E14</f>
        <v>3677558.86611111</v>
      </c>
      <c r="F17" s="107">
        <f t="shared" ref="F17:K17" si="48">SUM(F14:F16)</f>
        <v>3963224.6955000004</v>
      </c>
      <c r="G17" s="41">
        <f t="shared" ref="G17" si="49">SUM(G14:G16)</f>
        <v>4559640.2000000011</v>
      </c>
      <c r="H17" s="41">
        <f t="shared" si="48"/>
        <v>0</v>
      </c>
      <c r="I17" s="41">
        <f t="shared" si="48"/>
        <v>0</v>
      </c>
      <c r="J17" s="41">
        <f t="shared" si="48"/>
        <v>0</v>
      </c>
      <c r="K17" s="41">
        <f t="shared" si="48"/>
        <v>0</v>
      </c>
      <c r="L17" s="337"/>
      <c r="M17" s="43" t="s">
        <v>88</v>
      </c>
      <c r="N17" s="41">
        <f t="shared" ref="N17:R17" si="50">SUM(N14:N16)</f>
        <v>0</v>
      </c>
      <c r="O17" s="41">
        <f t="shared" si="50"/>
        <v>0</v>
      </c>
      <c r="P17" s="41">
        <f t="shared" si="50"/>
        <v>0</v>
      </c>
      <c r="Q17" s="41">
        <f t="shared" si="50"/>
        <v>0</v>
      </c>
      <c r="R17" s="41">
        <f t="shared" si="50"/>
        <v>0</v>
      </c>
      <c r="S17" s="337"/>
      <c r="T17" s="43" t="s">
        <v>88</v>
      </c>
      <c r="U17" s="41">
        <f t="shared" ref="U17:Y17" si="51">SUM(U14:U16)</f>
        <v>4559640.2000000011</v>
      </c>
      <c r="V17" s="41">
        <f t="shared" si="51"/>
        <v>0</v>
      </c>
      <c r="W17" s="41">
        <f t="shared" si="51"/>
        <v>0</v>
      </c>
      <c r="X17" s="41">
        <f t="shared" si="51"/>
        <v>0</v>
      </c>
      <c r="Y17" s="41">
        <f t="shared" si="51"/>
        <v>0</v>
      </c>
      <c r="Z17" s="337"/>
      <c r="AA17" s="43" t="s">
        <v>88</v>
      </c>
      <c r="AB17" s="41">
        <f t="shared" ref="AB17:AF17" si="52">SUM(AB14:AB16)</f>
        <v>0</v>
      </c>
      <c r="AC17" s="41">
        <f t="shared" si="52"/>
        <v>0</v>
      </c>
      <c r="AD17" s="41">
        <f t="shared" si="52"/>
        <v>0</v>
      </c>
      <c r="AE17" s="41">
        <f t="shared" si="52"/>
        <v>0</v>
      </c>
      <c r="AF17" s="41">
        <f t="shared" si="52"/>
        <v>0</v>
      </c>
      <c r="AG17" s="97"/>
      <c r="AH17" s="440">
        <f t="shared" si="18"/>
        <v>0</v>
      </c>
      <c r="AI17" s="440">
        <f t="shared" si="18"/>
        <v>0</v>
      </c>
      <c r="AJ17" s="440">
        <f t="shared" si="18"/>
        <v>0</v>
      </c>
      <c r="AK17" s="440">
        <f t="shared" si="18"/>
        <v>0</v>
      </c>
      <c r="AL17" s="440">
        <f t="shared" si="39"/>
        <v>0</v>
      </c>
      <c r="AM17" s="444"/>
      <c r="AN17" s="423">
        <f t="shared" si="42"/>
        <v>0.15048743140332016</v>
      </c>
      <c r="AO17" s="423">
        <f t="shared" si="42"/>
        <v>-1</v>
      </c>
      <c r="AP17" s="423" t="e">
        <f t="shared" si="42"/>
        <v>#DIV/0!</v>
      </c>
      <c r="AQ17" s="405" t="e">
        <f t="shared" si="42"/>
        <v>#DIV/0!</v>
      </c>
      <c r="AR17" s="405" t="e">
        <f t="shared" si="42"/>
        <v>#DIV/0!</v>
      </c>
    </row>
    <row r="18" spans="1:44" s="96" customFormat="1" outlineLevel="1">
      <c r="A18" s="45"/>
      <c r="B18" s="46"/>
      <c r="C18" s="107"/>
      <c r="D18" s="107"/>
      <c r="E18" s="107"/>
      <c r="F18" s="107"/>
      <c r="G18" s="107"/>
      <c r="H18" s="107"/>
      <c r="I18" s="107"/>
      <c r="J18" s="107"/>
      <c r="K18" s="107"/>
      <c r="L18" s="333"/>
      <c r="M18" s="46"/>
      <c r="N18" s="107"/>
      <c r="O18" s="107"/>
      <c r="P18" s="107"/>
      <c r="Q18" s="107"/>
      <c r="R18" s="107"/>
      <c r="S18" s="333"/>
      <c r="T18" s="46"/>
      <c r="U18" s="107"/>
      <c r="V18" s="107"/>
      <c r="W18" s="107"/>
      <c r="X18" s="107"/>
      <c r="Y18" s="107"/>
      <c r="Z18" s="333"/>
      <c r="AA18" s="46"/>
      <c r="AB18" s="107"/>
      <c r="AC18" s="107"/>
      <c r="AD18" s="107"/>
      <c r="AE18" s="107"/>
      <c r="AF18" s="107"/>
      <c r="AH18" s="435"/>
      <c r="AI18" s="435"/>
      <c r="AJ18" s="435"/>
      <c r="AK18" s="435"/>
      <c r="AL18" s="435"/>
      <c r="AM18" s="444"/>
    </row>
    <row r="19" spans="1:44" s="410" customFormat="1" outlineLevel="1">
      <c r="A19" s="406"/>
      <c r="B19" s="407" t="s">
        <v>419</v>
      </c>
      <c r="C19" s="408">
        <f>C14/C5</f>
        <v>0.3088429745820595</v>
      </c>
      <c r="D19" s="408">
        <f t="shared" ref="D19:L19" si="53">D14/D5</f>
        <v>0.27614780584920329</v>
      </c>
      <c r="E19" s="408">
        <f t="shared" si="53"/>
        <v>0.24074804565703789</v>
      </c>
      <c r="F19" s="408">
        <f t="shared" si="53"/>
        <v>0.25</v>
      </c>
      <c r="G19" s="408">
        <f t="shared" si="53"/>
        <v>0.28000000000000003</v>
      </c>
      <c r="H19" s="408">
        <f t="shared" si="53"/>
        <v>0</v>
      </c>
      <c r="I19" s="408">
        <f t="shared" si="53"/>
        <v>0</v>
      </c>
      <c r="J19" s="408">
        <f t="shared" si="53"/>
        <v>0</v>
      </c>
      <c r="K19" s="408">
        <f t="shared" si="53"/>
        <v>0</v>
      </c>
      <c r="L19" s="408">
        <f t="shared" si="53"/>
        <v>0</v>
      </c>
      <c r="M19" s="407"/>
      <c r="N19" s="408" t="e">
        <f t="shared" ref="N19:R19" si="54">N14/N5</f>
        <v>#DIV/0!</v>
      </c>
      <c r="O19" s="408" t="e">
        <f t="shared" si="54"/>
        <v>#DIV/0!</v>
      </c>
      <c r="P19" s="408" t="e">
        <f t="shared" si="54"/>
        <v>#DIV/0!</v>
      </c>
      <c r="Q19" s="408" t="e">
        <f t="shared" si="54"/>
        <v>#DIV/0!</v>
      </c>
      <c r="R19" s="408" t="e">
        <f t="shared" si="54"/>
        <v>#DIV/0!</v>
      </c>
      <c r="S19" s="409"/>
      <c r="T19" s="407"/>
      <c r="U19" s="408">
        <f t="shared" ref="U19:V19" si="55">U14/U5</f>
        <v>0.28000000000000003</v>
      </c>
      <c r="V19" s="408">
        <f t="shared" si="55"/>
        <v>0</v>
      </c>
      <c r="W19" s="408">
        <f t="shared" ref="W19:Y19" si="56">W14/W5</f>
        <v>0</v>
      </c>
      <c r="X19" s="408">
        <f t="shared" si="56"/>
        <v>0</v>
      </c>
      <c r="Y19" s="408">
        <f t="shared" si="56"/>
        <v>0</v>
      </c>
      <c r="Z19" s="409"/>
      <c r="AA19" s="407"/>
      <c r="AB19" s="408" t="e">
        <f t="shared" ref="AB19:AF19" si="57">AB14/AB5</f>
        <v>#DIV/0!</v>
      </c>
      <c r="AC19" s="408" t="e">
        <f t="shared" si="57"/>
        <v>#DIV/0!</v>
      </c>
      <c r="AD19" s="408" t="e">
        <f t="shared" si="57"/>
        <v>#DIV/0!</v>
      </c>
      <c r="AE19" s="408" t="e">
        <f t="shared" si="57"/>
        <v>#DIV/0!</v>
      </c>
      <c r="AF19" s="408" t="e">
        <f t="shared" si="57"/>
        <v>#DIV/0!</v>
      </c>
      <c r="AH19" s="441"/>
      <c r="AI19" s="441"/>
      <c r="AJ19" s="441"/>
      <c r="AK19" s="441"/>
      <c r="AL19" s="441"/>
      <c r="AM19" s="444"/>
      <c r="AN19" s="410" t="s">
        <v>428</v>
      </c>
    </row>
    <row r="20" spans="1:44" s="410" customFormat="1" outlineLevel="1">
      <c r="A20" s="406"/>
      <c r="B20" s="407" t="s">
        <v>420</v>
      </c>
      <c r="C20" s="408">
        <f>C15/C5</f>
        <v>0.46055583887171286</v>
      </c>
      <c r="D20" s="408">
        <f t="shared" ref="D20:L20" si="58">D15/D5</f>
        <v>0.48512729167334473</v>
      </c>
      <c r="E20" s="408">
        <f t="shared" si="58"/>
        <v>0.44771123545892377</v>
      </c>
      <c r="F20" s="408">
        <f t="shared" si="58"/>
        <v>0.44999999999999996</v>
      </c>
      <c r="G20" s="408">
        <f t="shared" si="58"/>
        <v>0.50030947169811335</v>
      </c>
      <c r="H20" s="408">
        <f t="shared" si="58"/>
        <v>0</v>
      </c>
      <c r="I20" s="408">
        <f t="shared" si="58"/>
        <v>0</v>
      </c>
      <c r="J20" s="408">
        <f t="shared" si="58"/>
        <v>0</v>
      </c>
      <c r="K20" s="408">
        <f t="shared" si="58"/>
        <v>0</v>
      </c>
      <c r="L20" s="408">
        <f t="shared" si="58"/>
        <v>0</v>
      </c>
      <c r="M20" s="407"/>
      <c r="N20" s="408" t="e">
        <f t="shared" ref="N20:R20" si="59">N15/N5</f>
        <v>#DIV/0!</v>
      </c>
      <c r="O20" s="408" t="e">
        <f t="shared" si="59"/>
        <v>#DIV/0!</v>
      </c>
      <c r="P20" s="408" t="e">
        <f t="shared" si="59"/>
        <v>#DIV/0!</v>
      </c>
      <c r="Q20" s="408" t="e">
        <f t="shared" si="59"/>
        <v>#DIV/0!</v>
      </c>
      <c r="R20" s="408" t="e">
        <f t="shared" si="59"/>
        <v>#DIV/0!</v>
      </c>
      <c r="S20" s="409"/>
      <c r="T20" s="407"/>
      <c r="U20" s="408">
        <f t="shared" ref="U20:V20" si="60">U15/U5</f>
        <v>0.50030947169811335</v>
      </c>
      <c r="V20" s="408">
        <f t="shared" si="60"/>
        <v>0</v>
      </c>
      <c r="W20" s="408">
        <f t="shared" ref="W20:Y20" si="61">W15/W5</f>
        <v>0</v>
      </c>
      <c r="X20" s="408">
        <f t="shared" si="61"/>
        <v>0</v>
      </c>
      <c r="Y20" s="408">
        <f t="shared" si="61"/>
        <v>0</v>
      </c>
      <c r="Z20" s="409"/>
      <c r="AA20" s="407"/>
      <c r="AB20" s="408" t="e">
        <f t="shared" ref="AB20:AF20" si="62">AB15/AB5</f>
        <v>#DIV/0!</v>
      </c>
      <c r="AC20" s="408" t="e">
        <f t="shared" si="62"/>
        <v>#DIV/0!</v>
      </c>
      <c r="AD20" s="408" t="e">
        <f t="shared" si="62"/>
        <v>#DIV/0!</v>
      </c>
      <c r="AE20" s="408" t="e">
        <f t="shared" si="62"/>
        <v>#DIV/0!</v>
      </c>
      <c r="AF20" s="408" t="e">
        <f t="shared" si="62"/>
        <v>#DIV/0!</v>
      </c>
      <c r="AH20" s="441"/>
      <c r="AI20" s="441"/>
      <c r="AJ20" s="441"/>
      <c r="AK20" s="441"/>
      <c r="AL20" s="441"/>
      <c r="AM20" s="444"/>
      <c r="AN20" s="410" t="s">
        <v>429</v>
      </c>
    </row>
    <row r="21" spans="1:44" s="96" customFormat="1" ht="26.1" customHeight="1" outlineLevel="1">
      <c r="A21" s="42">
        <v>2210</v>
      </c>
      <c r="B21" s="43" t="s">
        <v>89</v>
      </c>
      <c r="C21" s="41">
        <f>'PLAN 2018'!C15</f>
        <v>0</v>
      </c>
      <c r="D21" s="41">
        <f>'PLAN 2018'!D15</f>
        <v>0</v>
      </c>
      <c r="E21" s="41">
        <f>'PLAN 2018'!E15</f>
        <v>0</v>
      </c>
      <c r="F21" s="41">
        <f>'PLAN 2018'!S15</f>
        <v>0</v>
      </c>
      <c r="G21" s="41">
        <f>'PLAN 2018'!AG15</f>
        <v>0</v>
      </c>
      <c r="H21" s="41">
        <f t="shared" ref="H21:K23" si="63">$L21*H$6</f>
        <v>0</v>
      </c>
      <c r="I21" s="41">
        <f t="shared" si="63"/>
        <v>0</v>
      </c>
      <c r="J21" s="41">
        <f t="shared" si="63"/>
        <v>0</v>
      </c>
      <c r="K21" s="41">
        <f t="shared" si="63"/>
        <v>0</v>
      </c>
      <c r="L21" s="475"/>
      <c r="M21" s="43" t="s">
        <v>89</v>
      </c>
      <c r="N21" s="41">
        <v>0</v>
      </c>
      <c r="O21" s="41">
        <f t="shared" ref="O21:R23" si="64">$L21*O$6</f>
        <v>0</v>
      </c>
      <c r="P21" s="41">
        <f t="shared" si="64"/>
        <v>0</v>
      </c>
      <c r="Q21" s="41">
        <f t="shared" si="64"/>
        <v>0</v>
      </c>
      <c r="R21" s="41">
        <f t="shared" si="64"/>
        <v>0</v>
      </c>
      <c r="S21" s="336"/>
      <c r="T21" s="43" t="s">
        <v>89</v>
      </c>
      <c r="U21" s="41">
        <f t="shared" ref="U21:U23" si="65">G21</f>
        <v>0</v>
      </c>
      <c r="V21" s="41">
        <f t="shared" ref="V21:Y23" si="66">$L21*V$6</f>
        <v>0</v>
      </c>
      <c r="W21" s="41">
        <f t="shared" si="66"/>
        <v>0</v>
      </c>
      <c r="X21" s="41">
        <f t="shared" si="66"/>
        <v>0</v>
      </c>
      <c r="Y21" s="41">
        <f t="shared" si="66"/>
        <v>0</v>
      </c>
      <c r="Z21" s="336"/>
      <c r="AA21" s="43" t="s">
        <v>89</v>
      </c>
      <c r="AB21" s="41">
        <v>0</v>
      </c>
      <c r="AC21" s="41">
        <f t="shared" ref="AC21:AF23" si="67">$L21*AC$6</f>
        <v>0</v>
      </c>
      <c r="AD21" s="41">
        <f t="shared" si="67"/>
        <v>0</v>
      </c>
      <c r="AE21" s="41">
        <f t="shared" si="67"/>
        <v>0</v>
      </c>
      <c r="AF21" s="41">
        <f t="shared" si="67"/>
        <v>0</v>
      </c>
      <c r="AH21" s="435">
        <f t="shared" si="18"/>
        <v>0</v>
      </c>
      <c r="AI21" s="435">
        <f t="shared" si="18"/>
        <v>0</v>
      </c>
      <c r="AJ21" s="435">
        <f t="shared" si="18"/>
        <v>0</v>
      </c>
      <c r="AK21" s="435">
        <f t="shared" si="18"/>
        <v>0</v>
      </c>
      <c r="AL21" s="435">
        <f t="shared" si="39"/>
        <v>0</v>
      </c>
      <c r="AM21" s="444"/>
    </row>
    <row r="22" spans="1:44" s="96" customFormat="1" outlineLevel="1">
      <c r="A22" s="42">
        <v>2220</v>
      </c>
      <c r="B22" s="43" t="s">
        <v>90</v>
      </c>
      <c r="C22" s="41">
        <f>'PLAN 2018'!C16</f>
        <v>5055336.0558332996</v>
      </c>
      <c r="D22" s="41">
        <f>'PLAN 2018'!D16</f>
        <v>5811293.0166500006</v>
      </c>
      <c r="E22" s="41">
        <f>'PLAN 2018'!E16</f>
        <v>6867974.6604000004</v>
      </c>
      <c r="F22" s="41">
        <f>'PLAN 2018'!S16</f>
        <v>7587064.7310728449</v>
      </c>
      <c r="G22" s="41">
        <f>'PLAN 2018'!AG16</f>
        <v>7759905.5999999987</v>
      </c>
      <c r="H22" s="41">
        <f t="shared" si="63"/>
        <v>0</v>
      </c>
      <c r="I22" s="41">
        <f t="shared" si="63"/>
        <v>0</v>
      </c>
      <c r="J22" s="41">
        <f t="shared" si="63"/>
        <v>0</v>
      </c>
      <c r="K22" s="41">
        <f t="shared" si="63"/>
        <v>0</v>
      </c>
      <c r="L22" s="475">
        <v>0</v>
      </c>
      <c r="M22" s="43" t="s">
        <v>90</v>
      </c>
      <c r="N22" s="41">
        <v>0</v>
      </c>
      <c r="O22" s="41">
        <f t="shared" si="64"/>
        <v>0</v>
      </c>
      <c r="P22" s="41">
        <f t="shared" si="64"/>
        <v>0</v>
      </c>
      <c r="Q22" s="41">
        <f t="shared" si="64"/>
        <v>0</v>
      </c>
      <c r="R22" s="41">
        <f t="shared" si="64"/>
        <v>0</v>
      </c>
      <c r="S22" s="336"/>
      <c r="T22" s="43" t="s">
        <v>90</v>
      </c>
      <c r="U22" s="41">
        <f t="shared" si="65"/>
        <v>7759905.5999999987</v>
      </c>
      <c r="V22" s="41">
        <f t="shared" si="66"/>
        <v>0</v>
      </c>
      <c r="W22" s="41">
        <f t="shared" si="66"/>
        <v>0</v>
      </c>
      <c r="X22" s="41">
        <f t="shared" si="66"/>
        <v>0</v>
      </c>
      <c r="Y22" s="41">
        <f t="shared" si="66"/>
        <v>0</v>
      </c>
      <c r="Z22" s="336"/>
      <c r="AA22" s="43" t="s">
        <v>90</v>
      </c>
      <c r="AB22" s="41">
        <v>0</v>
      </c>
      <c r="AC22" s="41">
        <f t="shared" si="67"/>
        <v>0</v>
      </c>
      <c r="AD22" s="41">
        <f t="shared" si="67"/>
        <v>0</v>
      </c>
      <c r="AE22" s="41">
        <f t="shared" si="67"/>
        <v>0</v>
      </c>
      <c r="AF22" s="41">
        <f t="shared" si="67"/>
        <v>0</v>
      </c>
      <c r="AH22" s="435">
        <f t="shared" si="18"/>
        <v>0</v>
      </c>
      <c r="AI22" s="435">
        <f t="shared" si="18"/>
        <v>0</v>
      </c>
      <c r="AJ22" s="435">
        <f t="shared" si="18"/>
        <v>0</v>
      </c>
      <c r="AK22" s="435">
        <f t="shared" si="18"/>
        <v>0</v>
      </c>
      <c r="AL22" s="435">
        <f t="shared" si="39"/>
        <v>0</v>
      </c>
      <c r="AM22" s="444"/>
    </row>
    <row r="23" spans="1:44" s="96" customFormat="1" outlineLevel="1">
      <c r="A23" s="42">
        <v>2230</v>
      </c>
      <c r="B23" s="43" t="s">
        <v>91</v>
      </c>
      <c r="C23" s="44">
        <f>'PLAN 2018'!C17</f>
        <v>0</v>
      </c>
      <c r="D23" s="44">
        <f>'PLAN 2018'!D17</f>
        <v>0</v>
      </c>
      <c r="E23" s="44">
        <f>'PLAN 2018'!E17</f>
        <v>0</v>
      </c>
      <c r="F23" s="44">
        <f>'PLAN 2018'!S17</f>
        <v>0</v>
      </c>
      <c r="G23" s="44">
        <f>'PLAN 2018'!AG17</f>
        <v>0</v>
      </c>
      <c r="H23" s="44">
        <f t="shared" si="63"/>
        <v>0</v>
      </c>
      <c r="I23" s="44">
        <f t="shared" si="63"/>
        <v>0</v>
      </c>
      <c r="J23" s="44">
        <f t="shared" si="63"/>
        <v>0</v>
      </c>
      <c r="K23" s="44">
        <f t="shared" si="63"/>
        <v>0</v>
      </c>
      <c r="L23" s="475"/>
      <c r="M23" s="43" t="s">
        <v>91</v>
      </c>
      <c r="N23" s="44">
        <v>0</v>
      </c>
      <c r="O23" s="44">
        <f t="shared" si="64"/>
        <v>0</v>
      </c>
      <c r="P23" s="44">
        <f t="shared" si="64"/>
        <v>0</v>
      </c>
      <c r="Q23" s="44">
        <f t="shared" si="64"/>
        <v>0</v>
      </c>
      <c r="R23" s="44">
        <f t="shared" si="64"/>
        <v>0</v>
      </c>
      <c r="S23" s="336"/>
      <c r="T23" s="43" t="s">
        <v>91</v>
      </c>
      <c r="U23" s="44">
        <f t="shared" si="65"/>
        <v>0</v>
      </c>
      <c r="V23" s="44">
        <f t="shared" si="66"/>
        <v>0</v>
      </c>
      <c r="W23" s="44">
        <f t="shared" si="66"/>
        <v>0</v>
      </c>
      <c r="X23" s="44">
        <f t="shared" si="66"/>
        <v>0</v>
      </c>
      <c r="Y23" s="44">
        <f t="shared" si="66"/>
        <v>0</v>
      </c>
      <c r="Z23" s="336"/>
      <c r="AA23" s="43" t="s">
        <v>91</v>
      </c>
      <c r="AB23" s="44">
        <v>0</v>
      </c>
      <c r="AC23" s="44">
        <f t="shared" si="67"/>
        <v>0</v>
      </c>
      <c r="AD23" s="44">
        <f t="shared" si="67"/>
        <v>0</v>
      </c>
      <c r="AE23" s="44">
        <f t="shared" si="67"/>
        <v>0</v>
      </c>
      <c r="AF23" s="44">
        <f t="shared" si="67"/>
        <v>0</v>
      </c>
      <c r="AH23" s="448">
        <f t="shared" si="18"/>
        <v>0</v>
      </c>
      <c r="AI23" s="448">
        <f t="shared" si="18"/>
        <v>0</v>
      </c>
      <c r="AJ23" s="448">
        <f t="shared" si="18"/>
        <v>0</v>
      </c>
      <c r="AK23" s="448">
        <f t="shared" si="18"/>
        <v>0</v>
      </c>
      <c r="AL23" s="448">
        <f t="shared" si="39"/>
        <v>0</v>
      </c>
      <c r="AM23" s="444"/>
    </row>
    <row r="24" spans="1:44" s="96" customFormat="1" outlineLevel="1">
      <c r="A24" s="45">
        <v>9120</v>
      </c>
      <c r="B24" s="46" t="s">
        <v>92</v>
      </c>
      <c r="C24" s="107">
        <f>'PLAN 2018'!C18</f>
        <v>5055336.0558332996</v>
      </c>
      <c r="D24" s="107">
        <f>'PLAN 2018'!D18</f>
        <v>5811293.0166500006</v>
      </c>
      <c r="E24" s="107">
        <f>'PLAN 2018'!E18</f>
        <v>6867974.6604000004</v>
      </c>
      <c r="F24" s="107">
        <f t="shared" ref="F24:K24" si="68">SUM(F21:F23)</f>
        <v>7587064.7310728449</v>
      </c>
      <c r="G24" s="107">
        <f t="shared" ref="G24" si="69">SUM(G21:G23)</f>
        <v>7759905.5999999987</v>
      </c>
      <c r="H24" s="107">
        <f t="shared" si="68"/>
        <v>0</v>
      </c>
      <c r="I24" s="107">
        <f t="shared" si="68"/>
        <v>0</v>
      </c>
      <c r="J24" s="107">
        <f t="shared" si="68"/>
        <v>0</v>
      </c>
      <c r="K24" s="107">
        <f t="shared" si="68"/>
        <v>0</v>
      </c>
      <c r="L24" s="333"/>
      <c r="M24" s="46" t="s">
        <v>92</v>
      </c>
      <c r="N24" s="107">
        <f t="shared" ref="N24:R24" si="70">SUM(N21:N23)</f>
        <v>0</v>
      </c>
      <c r="O24" s="107">
        <f t="shared" si="70"/>
        <v>0</v>
      </c>
      <c r="P24" s="107">
        <f t="shared" si="70"/>
        <v>0</v>
      </c>
      <c r="Q24" s="107">
        <f t="shared" si="70"/>
        <v>0</v>
      </c>
      <c r="R24" s="107">
        <f t="shared" si="70"/>
        <v>0</v>
      </c>
      <c r="S24" s="333"/>
      <c r="T24" s="46" t="s">
        <v>92</v>
      </c>
      <c r="U24" s="107">
        <f t="shared" ref="U24:Y24" si="71">SUM(U21:U23)</f>
        <v>7759905.5999999987</v>
      </c>
      <c r="V24" s="107">
        <f t="shared" si="71"/>
        <v>0</v>
      </c>
      <c r="W24" s="107">
        <f t="shared" si="71"/>
        <v>0</v>
      </c>
      <c r="X24" s="107">
        <f t="shared" si="71"/>
        <v>0</v>
      </c>
      <c r="Y24" s="107">
        <f t="shared" si="71"/>
        <v>0</v>
      </c>
      <c r="Z24" s="333"/>
      <c r="AA24" s="46" t="s">
        <v>92</v>
      </c>
      <c r="AB24" s="107">
        <f t="shared" ref="AB24:AF24" si="72">SUM(AB21:AB23)</f>
        <v>0</v>
      </c>
      <c r="AC24" s="107">
        <f t="shared" si="72"/>
        <v>0</v>
      </c>
      <c r="AD24" s="107">
        <f t="shared" si="72"/>
        <v>0</v>
      </c>
      <c r="AE24" s="107">
        <f t="shared" si="72"/>
        <v>0</v>
      </c>
      <c r="AF24" s="107">
        <f t="shared" si="72"/>
        <v>0</v>
      </c>
      <c r="AH24" s="435">
        <f t="shared" si="18"/>
        <v>0</v>
      </c>
      <c r="AI24" s="435">
        <f t="shared" si="18"/>
        <v>0</v>
      </c>
      <c r="AJ24" s="435">
        <f t="shared" si="18"/>
        <v>0</v>
      </c>
      <c r="AK24" s="435">
        <f t="shared" si="18"/>
        <v>0</v>
      </c>
      <c r="AL24" s="435">
        <f t="shared" si="39"/>
        <v>0</v>
      </c>
      <c r="AM24" s="444"/>
    </row>
    <row r="25" spans="1:44" s="96" customFormat="1" outlineLevel="1">
      <c r="A25" s="45"/>
      <c r="B25" s="46"/>
      <c r="C25" s="107"/>
      <c r="D25" s="107"/>
      <c r="E25" s="107"/>
      <c r="F25" s="107"/>
      <c r="G25" s="107"/>
      <c r="H25" s="107"/>
      <c r="I25" s="107"/>
      <c r="J25" s="107"/>
      <c r="K25" s="107"/>
      <c r="L25" s="333"/>
      <c r="M25" s="46"/>
      <c r="N25" s="107"/>
      <c r="O25" s="107"/>
      <c r="P25" s="107"/>
      <c r="Q25" s="107"/>
      <c r="R25" s="107"/>
      <c r="S25" s="333"/>
      <c r="T25" s="46"/>
      <c r="U25" s="107"/>
      <c r="V25" s="107"/>
      <c r="W25" s="107"/>
      <c r="X25" s="107"/>
      <c r="Y25" s="107"/>
      <c r="Z25" s="333"/>
      <c r="AA25" s="46"/>
      <c r="AB25" s="107"/>
      <c r="AC25" s="107"/>
      <c r="AD25" s="107"/>
      <c r="AE25" s="107"/>
      <c r="AF25" s="107"/>
      <c r="AH25" s="435"/>
      <c r="AI25" s="435"/>
      <c r="AJ25" s="435"/>
      <c r="AK25" s="435"/>
      <c r="AL25" s="435"/>
      <c r="AM25" s="444"/>
    </row>
    <row r="26" spans="1:44" s="410" customFormat="1" outlineLevel="1">
      <c r="A26" s="406"/>
      <c r="B26" s="407" t="s">
        <v>426</v>
      </c>
      <c r="C26" s="408">
        <f>C22/C6</f>
        <v>0.5</v>
      </c>
      <c r="D26" s="408">
        <f t="shared" ref="D26:L26" si="73">D22/D6</f>
        <v>0.53</v>
      </c>
      <c r="E26" s="408">
        <f t="shared" si="73"/>
        <v>0.56000000000000005</v>
      </c>
      <c r="F26" s="408">
        <f t="shared" si="73"/>
        <v>0.56000000000000005</v>
      </c>
      <c r="G26" s="408">
        <f t="shared" si="73"/>
        <v>0.54284307322060388</v>
      </c>
      <c r="H26" s="408">
        <f t="shared" si="73"/>
        <v>0</v>
      </c>
      <c r="I26" s="408">
        <f t="shared" si="73"/>
        <v>0</v>
      </c>
      <c r="J26" s="408">
        <f t="shared" si="73"/>
        <v>0</v>
      </c>
      <c r="K26" s="408">
        <f t="shared" si="73"/>
        <v>0</v>
      </c>
      <c r="L26" s="408">
        <f t="shared" si="73"/>
        <v>0</v>
      </c>
      <c r="M26" s="407"/>
      <c r="N26" s="408" t="str">
        <f t="shared" ref="N26:R26" si="74">IFERROR(N22/N6,"")</f>
        <v/>
      </c>
      <c r="O26" s="408" t="str">
        <f t="shared" si="74"/>
        <v/>
      </c>
      <c r="P26" s="408" t="str">
        <f t="shared" si="74"/>
        <v/>
      </c>
      <c r="Q26" s="408" t="str">
        <f t="shared" si="74"/>
        <v/>
      </c>
      <c r="R26" s="408" t="str">
        <f t="shared" si="74"/>
        <v/>
      </c>
      <c r="S26" s="409"/>
      <c r="T26" s="407"/>
      <c r="U26" s="408">
        <f t="shared" ref="U26:Y26" si="75">IFERROR(U22/U6,"")</f>
        <v>0.54284307322060388</v>
      </c>
      <c r="V26" s="408">
        <f t="shared" si="75"/>
        <v>0</v>
      </c>
      <c r="W26" s="408">
        <f t="shared" si="75"/>
        <v>0</v>
      </c>
      <c r="X26" s="408">
        <f t="shared" si="75"/>
        <v>0</v>
      </c>
      <c r="Y26" s="408">
        <f t="shared" si="75"/>
        <v>0</v>
      </c>
      <c r="Z26" s="409"/>
      <c r="AA26" s="407"/>
      <c r="AB26" s="408" t="str">
        <f t="shared" ref="AB26:AF26" si="76">IFERROR(AB22/AB6,"")</f>
        <v/>
      </c>
      <c r="AC26" s="408" t="str">
        <f t="shared" si="76"/>
        <v/>
      </c>
      <c r="AD26" s="408" t="str">
        <f t="shared" si="76"/>
        <v/>
      </c>
      <c r="AE26" s="408" t="str">
        <f t="shared" si="76"/>
        <v/>
      </c>
      <c r="AF26" s="408" t="str">
        <f t="shared" si="76"/>
        <v/>
      </c>
      <c r="AH26" s="441"/>
      <c r="AI26" s="441"/>
      <c r="AJ26" s="441"/>
      <c r="AK26" s="441"/>
      <c r="AL26" s="441"/>
      <c r="AM26" s="444"/>
      <c r="AN26" s="410" t="s">
        <v>431</v>
      </c>
    </row>
    <row r="27" spans="1:44" s="96" customFormat="1" ht="24" customHeight="1" outlineLevel="1">
      <c r="A27" s="48">
        <v>2300</v>
      </c>
      <c r="B27" s="49" t="s">
        <v>471</v>
      </c>
      <c r="C27" s="41">
        <f>'PLAN 2018'!C19</f>
        <v>2080583.3399999999</v>
      </c>
      <c r="D27" s="41">
        <f>'PLAN 2018'!D19</f>
        <v>2551142.6016666666</v>
      </c>
      <c r="E27" s="41">
        <f>'PLAN 2018'!E19</f>
        <v>2491086.7716666665</v>
      </c>
      <c r="F27" s="41">
        <f>'PLAN 2018'!S19</f>
        <v>2539550.6753989998</v>
      </c>
      <c r="G27" s="41">
        <f>'PLAN 2018'!AG19</f>
        <v>2626153.3087323331</v>
      </c>
      <c r="H27" s="41">
        <f t="shared" ref="H27:K28" si="77">H7-H32</f>
        <v>2626153.3087323327</v>
      </c>
      <c r="I27" s="41">
        <f t="shared" si="77"/>
        <v>2626153.3087323327</v>
      </c>
      <c r="J27" s="41">
        <f t="shared" si="77"/>
        <v>2626153.3087323327</v>
      </c>
      <c r="K27" s="41">
        <f t="shared" si="77"/>
        <v>2626153.3087323327</v>
      </c>
      <c r="L27" s="333"/>
      <c r="M27" s="49" t="s">
        <v>93</v>
      </c>
      <c r="N27" s="41">
        <v>0</v>
      </c>
      <c r="O27" s="41">
        <f t="shared" ref="O27:R28" si="78">O7-O32</f>
        <v>0</v>
      </c>
      <c r="P27" s="41">
        <f t="shared" si="78"/>
        <v>0</v>
      </c>
      <c r="Q27" s="41">
        <f t="shared" si="78"/>
        <v>0</v>
      </c>
      <c r="R27" s="41">
        <f t="shared" si="78"/>
        <v>0</v>
      </c>
      <c r="S27" s="333"/>
      <c r="T27" s="49" t="s">
        <v>93</v>
      </c>
      <c r="U27" s="41">
        <f>G27</f>
        <v>2626153.3087323331</v>
      </c>
      <c r="V27" s="41">
        <f t="shared" ref="V27:Y28" si="79">V7-V32</f>
        <v>2888768.6396055669</v>
      </c>
      <c r="W27" s="41">
        <f t="shared" si="79"/>
        <v>3177645.5035661235</v>
      </c>
      <c r="X27" s="41">
        <f t="shared" si="79"/>
        <v>3495410.0539227366</v>
      </c>
      <c r="Y27" s="41">
        <f t="shared" si="79"/>
        <v>3844951.0593150104</v>
      </c>
      <c r="Z27" s="333"/>
      <c r="AA27" s="49" t="s">
        <v>93</v>
      </c>
      <c r="AB27" s="41">
        <v>0</v>
      </c>
      <c r="AC27" s="41">
        <f t="shared" ref="AC27:AF28" si="80">AC7-AC32</f>
        <v>0</v>
      </c>
      <c r="AD27" s="41">
        <f t="shared" si="80"/>
        <v>0</v>
      </c>
      <c r="AE27" s="41">
        <f t="shared" si="80"/>
        <v>0</v>
      </c>
      <c r="AF27" s="41">
        <f t="shared" si="80"/>
        <v>0</v>
      </c>
      <c r="AH27" s="435">
        <f t="shared" si="18"/>
        <v>0</v>
      </c>
      <c r="AI27" s="435">
        <f t="shared" si="18"/>
        <v>-262615.3308732342</v>
      </c>
      <c r="AJ27" s="435">
        <f t="shared" si="18"/>
        <v>-551492.19483379088</v>
      </c>
      <c r="AK27" s="435">
        <f t="shared" si="18"/>
        <v>-869256.74519040389</v>
      </c>
      <c r="AL27" s="435">
        <f t="shared" si="39"/>
        <v>-1218797.7505826778</v>
      </c>
      <c r="AM27" s="444"/>
    </row>
    <row r="28" spans="1:44" s="96" customFormat="1" outlineLevel="1">
      <c r="A28" s="48">
        <v>2400</v>
      </c>
      <c r="B28" s="49" t="s">
        <v>470</v>
      </c>
      <c r="C28" s="41">
        <f>'PLAN 2018'!C20</f>
        <v>572400.20000000007</v>
      </c>
      <c r="D28" s="41">
        <f>'PLAN 2018'!D20</f>
        <v>503818.33</v>
      </c>
      <c r="E28" s="41">
        <f>'PLAN 2018'!E20</f>
        <v>489853.25666666665</v>
      </c>
      <c r="F28" s="41">
        <f>'PLAN 2018'!S20</f>
        <v>721954.99638398387</v>
      </c>
      <c r="G28" s="41">
        <f>'PLAN 2018'!AG20</f>
        <v>708037.79163441306</v>
      </c>
      <c r="H28" s="41">
        <f t="shared" si="77"/>
        <v>708037.79163441306</v>
      </c>
      <c r="I28" s="41">
        <f t="shared" si="77"/>
        <v>708037.79163441306</v>
      </c>
      <c r="J28" s="41">
        <f t="shared" si="77"/>
        <v>708037.79163441306</v>
      </c>
      <c r="K28" s="41">
        <f t="shared" si="77"/>
        <v>708037.79163441306</v>
      </c>
      <c r="L28" s="333"/>
      <c r="M28" s="49" t="s">
        <v>94</v>
      </c>
      <c r="N28" s="41">
        <v>0</v>
      </c>
      <c r="O28" s="41">
        <f t="shared" si="78"/>
        <v>0</v>
      </c>
      <c r="P28" s="41">
        <f t="shared" si="78"/>
        <v>0</v>
      </c>
      <c r="Q28" s="41">
        <f t="shared" si="78"/>
        <v>0</v>
      </c>
      <c r="R28" s="41">
        <f t="shared" si="78"/>
        <v>0</v>
      </c>
      <c r="S28" s="333"/>
      <c r="T28" s="49" t="s">
        <v>94</v>
      </c>
      <c r="U28" s="41">
        <v>0</v>
      </c>
      <c r="V28" s="41">
        <f t="shared" si="79"/>
        <v>0</v>
      </c>
      <c r="W28" s="41">
        <f t="shared" si="79"/>
        <v>0</v>
      </c>
      <c r="X28" s="41">
        <f t="shared" si="79"/>
        <v>0</v>
      </c>
      <c r="Y28" s="41">
        <f t="shared" si="79"/>
        <v>0</v>
      </c>
      <c r="Z28" s="333"/>
      <c r="AA28" s="49" t="s">
        <v>94</v>
      </c>
      <c r="AB28" s="41">
        <f>G28</f>
        <v>708037.79163441306</v>
      </c>
      <c r="AC28" s="41">
        <f t="shared" si="80"/>
        <v>708037.79163441306</v>
      </c>
      <c r="AD28" s="41">
        <f t="shared" si="80"/>
        <v>708037.79163441306</v>
      </c>
      <c r="AE28" s="41">
        <f t="shared" si="80"/>
        <v>708037.79163441306</v>
      </c>
      <c r="AF28" s="41">
        <f t="shared" si="80"/>
        <v>708037.79163441306</v>
      </c>
      <c r="AH28" s="435">
        <f t="shared" si="18"/>
        <v>0</v>
      </c>
      <c r="AI28" s="435">
        <f t="shared" si="18"/>
        <v>0</v>
      </c>
      <c r="AJ28" s="435">
        <f t="shared" si="18"/>
        <v>0</v>
      </c>
      <c r="AK28" s="435">
        <f t="shared" si="18"/>
        <v>0</v>
      </c>
      <c r="AL28" s="435">
        <f t="shared" si="39"/>
        <v>0</v>
      </c>
      <c r="AM28" s="444"/>
    </row>
    <row r="29" spans="1:44" s="100" customFormat="1">
      <c r="A29" s="209">
        <v>9100</v>
      </c>
      <c r="B29" s="209" t="s">
        <v>61</v>
      </c>
      <c r="C29" s="124">
        <f>'PLAN 2018'!C21</f>
        <v>10843037.781666629</v>
      </c>
      <c r="D29" s="124">
        <f>'PLAN 2018'!D21</f>
        <v>12347733.208872221</v>
      </c>
      <c r="E29" s="124">
        <f>'PLAN 2018'!E21</f>
        <v>13526473.554844443</v>
      </c>
      <c r="F29" s="124">
        <f t="shared" ref="F29:K29" si="81">SUM(F17,F24,F27,F28)</f>
        <v>14811795.098355828</v>
      </c>
      <c r="G29" s="124">
        <f t="shared" si="81"/>
        <v>15653736.900366746</v>
      </c>
      <c r="H29" s="124">
        <f t="shared" si="81"/>
        <v>3334191.1003667456</v>
      </c>
      <c r="I29" s="124">
        <f t="shared" si="81"/>
        <v>3334191.1003667456</v>
      </c>
      <c r="J29" s="124">
        <f t="shared" si="81"/>
        <v>3334191.1003667456</v>
      </c>
      <c r="K29" s="124">
        <f t="shared" si="81"/>
        <v>3334191.1003667456</v>
      </c>
      <c r="L29" s="335"/>
      <c r="M29" s="209" t="s">
        <v>61</v>
      </c>
      <c r="N29" s="124">
        <f t="shared" ref="N29:R29" si="82">SUM(N17,N24,N27,N28)</f>
        <v>0</v>
      </c>
      <c r="O29" s="124">
        <f t="shared" si="82"/>
        <v>0</v>
      </c>
      <c r="P29" s="124">
        <f t="shared" si="82"/>
        <v>0</v>
      </c>
      <c r="Q29" s="124">
        <f t="shared" si="82"/>
        <v>0</v>
      </c>
      <c r="R29" s="124">
        <f t="shared" si="82"/>
        <v>0</v>
      </c>
      <c r="S29" s="335"/>
      <c r="T29" s="209" t="s">
        <v>61</v>
      </c>
      <c r="U29" s="124">
        <f t="shared" ref="U29:Y29" si="83">SUM(U17,U24,U27,U28)</f>
        <v>14945699.108732333</v>
      </c>
      <c r="V29" s="124">
        <f t="shared" si="83"/>
        <v>2888768.6396055669</v>
      </c>
      <c r="W29" s="124">
        <f t="shared" si="83"/>
        <v>3177645.5035661235</v>
      </c>
      <c r="X29" s="124">
        <f t="shared" si="83"/>
        <v>3495410.0539227366</v>
      </c>
      <c r="Y29" s="124">
        <f t="shared" si="83"/>
        <v>3844951.0593150104</v>
      </c>
      <c r="Z29" s="335"/>
      <c r="AA29" s="209" t="s">
        <v>61</v>
      </c>
      <c r="AB29" s="124">
        <f t="shared" ref="AB29:AF29" si="84">SUM(AB17,AB24,AB27,AB28)</f>
        <v>708037.79163441306</v>
      </c>
      <c r="AC29" s="124">
        <f t="shared" si="84"/>
        <v>708037.79163441306</v>
      </c>
      <c r="AD29" s="124">
        <f t="shared" si="84"/>
        <v>708037.79163441306</v>
      </c>
      <c r="AE29" s="124">
        <f t="shared" si="84"/>
        <v>708037.79163441306</v>
      </c>
      <c r="AF29" s="124">
        <f t="shared" si="84"/>
        <v>708037.79163441306</v>
      </c>
      <c r="AH29" s="448">
        <f t="shared" si="18"/>
        <v>0</v>
      </c>
      <c r="AI29" s="448">
        <f t="shared" si="18"/>
        <v>-262615.3308732342</v>
      </c>
      <c r="AJ29" s="448">
        <f t="shared" si="18"/>
        <v>-551492.19483379088</v>
      </c>
      <c r="AK29" s="448">
        <f t="shared" si="18"/>
        <v>-869256.74519040389</v>
      </c>
      <c r="AL29" s="448">
        <f t="shared" si="39"/>
        <v>-1218797.7505826778</v>
      </c>
      <c r="AM29" s="444"/>
    </row>
    <row r="30" spans="1:44" s="97" customFormat="1" ht="21.95" customHeight="1" outlineLevel="2">
      <c r="A30" s="42">
        <v>9210</v>
      </c>
      <c r="B30" s="43" t="s">
        <v>95</v>
      </c>
      <c r="C30" s="51">
        <f>'PLAN 2018'!C22</f>
        <v>915131.89583333721</v>
      </c>
      <c r="D30" s="51">
        <f>'PLAN 2018'!D22</f>
        <v>978269.83444444602</v>
      </c>
      <c r="E30" s="51">
        <f>'PLAN 2018'!E22</f>
        <v>1620462.8172222227</v>
      </c>
      <c r="F30" s="51">
        <f t="shared" ref="F30:K30" si="85">F5-F17</f>
        <v>1103199.9361666674</v>
      </c>
      <c r="G30" s="51">
        <f t="shared" si="85"/>
        <v>740359.79999999888</v>
      </c>
      <c r="H30" s="51">
        <f t="shared" si="85"/>
        <v>5300000</v>
      </c>
      <c r="I30" s="51">
        <f t="shared" si="85"/>
        <v>5300000</v>
      </c>
      <c r="J30" s="51">
        <f t="shared" si="85"/>
        <v>5300000</v>
      </c>
      <c r="K30" s="51">
        <f t="shared" si="85"/>
        <v>5300000</v>
      </c>
      <c r="L30" s="337"/>
      <c r="M30" s="43" t="s">
        <v>95</v>
      </c>
      <c r="N30" s="51">
        <f>N5-N17</f>
        <v>0</v>
      </c>
      <c r="O30" s="51">
        <f>O5-O17</f>
        <v>0</v>
      </c>
      <c r="P30" s="51">
        <f>P5-P17</f>
        <v>0</v>
      </c>
      <c r="Q30" s="51">
        <f>Q5-Q17</f>
        <v>0</v>
      </c>
      <c r="R30" s="51">
        <f>R5-R17</f>
        <v>0</v>
      </c>
      <c r="S30" s="337"/>
      <c r="T30" s="43" t="s">
        <v>95</v>
      </c>
      <c r="U30" s="51">
        <f>U5-U17</f>
        <v>740359.79999999888</v>
      </c>
      <c r="V30" s="51">
        <f>V5-V17</f>
        <v>6360000</v>
      </c>
      <c r="W30" s="51">
        <f>W5-W17</f>
        <v>6996000.0000000009</v>
      </c>
      <c r="X30" s="51">
        <f>X5-X17</f>
        <v>7695600.0000000019</v>
      </c>
      <c r="Y30" s="51">
        <f>Y5-Y17</f>
        <v>8465160.0000000019</v>
      </c>
      <c r="Z30" s="337"/>
      <c r="AA30" s="43" t="s">
        <v>95</v>
      </c>
      <c r="AB30" s="51">
        <f>AB5-AB17</f>
        <v>0</v>
      </c>
      <c r="AC30" s="51">
        <f>AC5-AC17</f>
        <v>0</v>
      </c>
      <c r="AD30" s="51">
        <f>AD5-AD17</f>
        <v>0</v>
      </c>
      <c r="AE30" s="51">
        <f>AE5-AE17</f>
        <v>0</v>
      </c>
      <c r="AF30" s="51">
        <f>AF5-AF17</f>
        <v>0</v>
      </c>
      <c r="AH30" s="435">
        <f t="shared" si="18"/>
        <v>0</v>
      </c>
      <c r="AI30" s="435">
        <f t="shared" si="18"/>
        <v>-1060000</v>
      </c>
      <c r="AJ30" s="435">
        <f t="shared" si="18"/>
        <v>-1696000.0000000009</v>
      </c>
      <c r="AK30" s="435">
        <f t="shared" si="18"/>
        <v>-2395600.0000000019</v>
      </c>
      <c r="AL30" s="435">
        <f t="shared" si="39"/>
        <v>-3165160.0000000019</v>
      </c>
      <c r="AM30" s="444"/>
    </row>
    <row r="31" spans="1:44" s="97" customFormat="1" outlineLevel="2">
      <c r="A31" s="42">
        <v>9220</v>
      </c>
      <c r="B31" s="43" t="s">
        <v>8</v>
      </c>
      <c r="C31" s="51">
        <f>'PLAN 2018'!C23</f>
        <v>5055336.0558332996</v>
      </c>
      <c r="D31" s="51">
        <f>'PLAN 2018'!D23</f>
        <v>5153410.7883499991</v>
      </c>
      <c r="E31" s="51">
        <f>'PLAN 2018'!E23</f>
        <v>5396265.8045999995</v>
      </c>
      <c r="F31" s="51">
        <f t="shared" ref="F31:K31" si="86">F6-F24</f>
        <v>5961265.1458429489</v>
      </c>
      <c r="G31" s="51">
        <f t="shared" si="86"/>
        <v>6535027.8399012974</v>
      </c>
      <c r="H31" s="51">
        <f t="shared" si="86"/>
        <v>14294933.439901296</v>
      </c>
      <c r="I31" s="51">
        <f t="shared" si="86"/>
        <v>14294933.439901296</v>
      </c>
      <c r="J31" s="51">
        <f t="shared" si="86"/>
        <v>14294933.439901296</v>
      </c>
      <c r="K31" s="51">
        <f t="shared" si="86"/>
        <v>14294933.439901296</v>
      </c>
      <c r="L31" s="337"/>
      <c r="M31" s="43" t="s">
        <v>8</v>
      </c>
      <c r="N31" s="51">
        <f>N6-N24</f>
        <v>0</v>
      </c>
      <c r="O31" s="51">
        <f>O6-O24</f>
        <v>0</v>
      </c>
      <c r="P31" s="51">
        <f>P6-P24</f>
        <v>0</v>
      </c>
      <c r="Q31" s="51">
        <f>Q6-Q24</f>
        <v>0</v>
      </c>
      <c r="R31" s="51">
        <f>R6-R24</f>
        <v>0</v>
      </c>
      <c r="S31" s="337"/>
      <c r="T31" s="43" t="s">
        <v>8</v>
      </c>
      <c r="U31" s="51">
        <f>U6-U24</f>
        <v>6535027.8399012974</v>
      </c>
      <c r="V31" s="51">
        <f>V6-V24</f>
        <v>18583413.471871685</v>
      </c>
      <c r="W31" s="51">
        <f>W6-W24</f>
        <v>22300096.166246023</v>
      </c>
      <c r="X31" s="51">
        <f>X6-X24</f>
        <v>24530105.782870628</v>
      </c>
      <c r="Y31" s="51">
        <f>Y6-Y24</f>
        <v>26983116.361157693</v>
      </c>
      <c r="Z31" s="337"/>
      <c r="AA31" s="43" t="s">
        <v>8</v>
      </c>
      <c r="AB31" s="51">
        <f>AB6-AB24</f>
        <v>0</v>
      </c>
      <c r="AC31" s="51">
        <f>AC6-AC24</f>
        <v>0</v>
      </c>
      <c r="AD31" s="51">
        <f>AD6-AD24</f>
        <v>0</v>
      </c>
      <c r="AE31" s="51">
        <f>AE6-AE24</f>
        <v>0</v>
      </c>
      <c r="AF31" s="51">
        <f>AF6-AF24</f>
        <v>0</v>
      </c>
      <c r="AH31" s="435">
        <f t="shared" si="18"/>
        <v>0</v>
      </c>
      <c r="AI31" s="435">
        <f t="shared" si="18"/>
        <v>-4288480.0319703892</v>
      </c>
      <c r="AJ31" s="435">
        <f t="shared" si="18"/>
        <v>-8005162.726344727</v>
      </c>
      <c r="AK31" s="435">
        <f t="shared" si="18"/>
        <v>-10235172.342969332</v>
      </c>
      <c r="AL31" s="435">
        <f t="shared" si="39"/>
        <v>-12688182.921256397</v>
      </c>
      <c r="AM31" s="444"/>
    </row>
    <row r="32" spans="1:44" s="97" customFormat="1" outlineLevel="2">
      <c r="A32" s="42">
        <v>9230</v>
      </c>
      <c r="B32" s="43" t="s">
        <v>472</v>
      </c>
      <c r="C32" s="51">
        <f>'PLAN 2018'!C24</f>
        <v>1340508.4766666666</v>
      </c>
      <c r="D32" s="51">
        <f>'PLAN 2018'!D24</f>
        <v>1628783.0233333334</v>
      </c>
      <c r="E32" s="51">
        <f>'PLAN 2018'!E24</f>
        <v>1561959.0733333337</v>
      </c>
      <c r="F32" s="51">
        <f>F7-F27</f>
        <v>1556498.8010509997</v>
      </c>
      <c r="G32" s="51">
        <f>G7-G27</f>
        <v>1609577.8343843338</v>
      </c>
      <c r="H32" s="51">
        <f t="shared" ref="H32:K33" si="87">H7*H38</f>
        <v>1609577.834384334</v>
      </c>
      <c r="I32" s="51">
        <f t="shared" si="87"/>
        <v>1609577.834384334</v>
      </c>
      <c r="J32" s="51">
        <f t="shared" si="87"/>
        <v>1609577.834384334</v>
      </c>
      <c r="K32" s="51">
        <f t="shared" si="87"/>
        <v>1609577.834384334</v>
      </c>
      <c r="L32" s="337"/>
      <c r="M32" s="43" t="s">
        <v>9</v>
      </c>
      <c r="N32" s="51">
        <f>N7-N27</f>
        <v>0</v>
      </c>
      <c r="O32" s="51">
        <f t="shared" ref="O32:R33" si="88">O7*O38</f>
        <v>0</v>
      </c>
      <c r="P32" s="51">
        <f t="shared" si="88"/>
        <v>0</v>
      </c>
      <c r="Q32" s="51">
        <f t="shared" si="88"/>
        <v>0</v>
      </c>
      <c r="R32" s="51">
        <f t="shared" si="88"/>
        <v>0</v>
      </c>
      <c r="S32" s="337"/>
      <c r="T32" s="43" t="s">
        <v>9</v>
      </c>
      <c r="U32" s="51">
        <f>U7-U27</f>
        <v>1609577.8343843338</v>
      </c>
      <c r="V32" s="51">
        <f t="shared" ref="V32:Y33" si="89">V7*V38</f>
        <v>1770535.6178227675</v>
      </c>
      <c r="W32" s="51">
        <f t="shared" si="89"/>
        <v>1947589.1796050444</v>
      </c>
      <c r="X32" s="51">
        <f t="shared" si="89"/>
        <v>2142348.097565549</v>
      </c>
      <c r="Y32" s="51">
        <f t="shared" si="89"/>
        <v>2356582.9073221046</v>
      </c>
      <c r="Z32" s="337"/>
      <c r="AA32" s="43" t="s">
        <v>9</v>
      </c>
      <c r="AB32" s="51">
        <f>AB7-AB27</f>
        <v>0</v>
      </c>
      <c r="AC32" s="51">
        <f t="shared" ref="AC32:AF33" si="90">AC7*AC38</f>
        <v>0</v>
      </c>
      <c r="AD32" s="51">
        <f t="shared" si="90"/>
        <v>0</v>
      </c>
      <c r="AE32" s="51">
        <f t="shared" si="90"/>
        <v>0</v>
      </c>
      <c r="AF32" s="51">
        <f t="shared" si="90"/>
        <v>0</v>
      </c>
      <c r="AH32" s="435">
        <f t="shared" si="18"/>
        <v>0</v>
      </c>
      <c r="AI32" s="435">
        <f t="shared" si="18"/>
        <v>-160957.78343843343</v>
      </c>
      <c r="AJ32" s="435">
        <f t="shared" si="18"/>
        <v>-338011.34522071038</v>
      </c>
      <c r="AK32" s="435">
        <f t="shared" si="18"/>
        <v>-532770.26318121492</v>
      </c>
      <c r="AL32" s="435">
        <f t="shared" si="39"/>
        <v>-747005.07293777051</v>
      </c>
      <c r="AM32" s="444"/>
    </row>
    <row r="33" spans="1:50" s="97" customFormat="1" outlineLevel="2">
      <c r="A33" s="42">
        <v>9240</v>
      </c>
      <c r="B33" s="43" t="s">
        <v>473</v>
      </c>
      <c r="C33" s="51">
        <f>'PLAN 2018'!C25</f>
        <v>108209.80333333323</v>
      </c>
      <c r="D33" s="51">
        <f>'PLAN 2018'!D25</f>
        <v>135009.90666666668</v>
      </c>
      <c r="E33" s="51">
        <f>'PLAN 2018'!E25</f>
        <v>115315.46499999991</v>
      </c>
      <c r="F33" s="51">
        <f>F8-F28</f>
        <v>147870.30046418961</v>
      </c>
      <c r="G33" s="51">
        <f>G8-G28</f>
        <v>161787.50521376042</v>
      </c>
      <c r="H33" s="51">
        <f t="shared" si="87"/>
        <v>161787.50521376042</v>
      </c>
      <c r="I33" s="51">
        <f t="shared" si="87"/>
        <v>161787.50521376042</v>
      </c>
      <c r="J33" s="51">
        <f t="shared" si="87"/>
        <v>161787.50521376042</v>
      </c>
      <c r="K33" s="51">
        <f t="shared" si="87"/>
        <v>161787.50521376042</v>
      </c>
      <c r="L33" s="337"/>
      <c r="M33" s="43" t="s">
        <v>96</v>
      </c>
      <c r="N33" s="51">
        <f>N8-N28</f>
        <v>0</v>
      </c>
      <c r="O33" s="51">
        <f t="shared" si="88"/>
        <v>0</v>
      </c>
      <c r="P33" s="51">
        <f t="shared" si="88"/>
        <v>0</v>
      </c>
      <c r="Q33" s="51">
        <f t="shared" si="88"/>
        <v>0</v>
      </c>
      <c r="R33" s="51">
        <f t="shared" si="88"/>
        <v>0</v>
      </c>
      <c r="S33" s="337"/>
      <c r="T33" s="43" t="s">
        <v>96</v>
      </c>
      <c r="U33" s="51">
        <f>U8-U28</f>
        <v>0</v>
      </c>
      <c r="V33" s="51">
        <f t="shared" si="89"/>
        <v>0</v>
      </c>
      <c r="W33" s="51">
        <f t="shared" si="89"/>
        <v>0</v>
      </c>
      <c r="X33" s="51">
        <f t="shared" si="89"/>
        <v>0</v>
      </c>
      <c r="Y33" s="51">
        <f t="shared" si="89"/>
        <v>0</v>
      </c>
      <c r="Z33" s="337"/>
      <c r="AA33" s="43" t="s">
        <v>96</v>
      </c>
      <c r="AB33" s="51">
        <f>AB8-AB28</f>
        <v>161787.50521376042</v>
      </c>
      <c r="AC33" s="51">
        <f t="shared" si="90"/>
        <v>161787.50521376042</v>
      </c>
      <c r="AD33" s="51">
        <f t="shared" si="90"/>
        <v>161787.50521376042</v>
      </c>
      <c r="AE33" s="51">
        <f t="shared" si="90"/>
        <v>161787.50521376042</v>
      </c>
      <c r="AF33" s="51">
        <f t="shared" si="90"/>
        <v>161787.50521376042</v>
      </c>
      <c r="AH33" s="435">
        <f t="shared" si="18"/>
        <v>0</v>
      </c>
      <c r="AI33" s="435">
        <f t="shared" si="18"/>
        <v>0</v>
      </c>
      <c r="AJ33" s="435">
        <f t="shared" si="18"/>
        <v>0</v>
      </c>
      <c r="AK33" s="435">
        <f t="shared" si="18"/>
        <v>0</v>
      </c>
      <c r="AL33" s="435">
        <f t="shared" si="39"/>
        <v>0</v>
      </c>
      <c r="AM33" s="444"/>
    </row>
    <row r="34" spans="1:50" s="97" customFormat="1" outlineLevel="2">
      <c r="A34" s="42">
        <v>9250</v>
      </c>
      <c r="B34" s="43" t="s">
        <v>170</v>
      </c>
      <c r="C34" s="51">
        <f>'PLAN 2018'!C26</f>
        <v>167651.14000000001</v>
      </c>
      <c r="D34" s="51">
        <f>'PLAN 2018'!D26</f>
        <v>136331.57500000001</v>
      </c>
      <c r="E34" s="51">
        <f>'PLAN 2018'!E26</f>
        <v>83023.403333333335</v>
      </c>
      <c r="F34" s="51">
        <f t="shared" ref="F34:K34" si="91">F9</f>
        <v>818761.99999999965</v>
      </c>
      <c r="G34" s="51">
        <f t="shared" si="91"/>
        <v>604440</v>
      </c>
      <c r="H34" s="51">
        <f t="shared" si="91"/>
        <v>604440</v>
      </c>
      <c r="I34" s="51">
        <f t="shared" si="91"/>
        <v>604440</v>
      </c>
      <c r="J34" s="51">
        <f t="shared" si="91"/>
        <v>604440</v>
      </c>
      <c r="K34" s="51">
        <f t="shared" si="91"/>
        <v>604440</v>
      </c>
      <c r="L34" s="337"/>
      <c r="M34" s="43" t="s">
        <v>170</v>
      </c>
      <c r="N34" s="51">
        <f>N9</f>
        <v>604440</v>
      </c>
      <c r="O34" s="51">
        <f>O9</f>
        <v>604440</v>
      </c>
      <c r="P34" s="51">
        <f>P9</f>
        <v>604440</v>
      </c>
      <c r="Q34" s="51">
        <f>Q9</f>
        <v>604440</v>
      </c>
      <c r="R34" s="51">
        <f>R9</f>
        <v>604440</v>
      </c>
      <c r="S34" s="337"/>
      <c r="T34" s="43" t="s">
        <v>170</v>
      </c>
      <c r="U34" s="51">
        <f>U9</f>
        <v>0</v>
      </c>
      <c r="V34" s="51">
        <f>V9</f>
        <v>0</v>
      </c>
      <c r="W34" s="51">
        <f>W9</f>
        <v>0</v>
      </c>
      <c r="X34" s="51">
        <f>X9</f>
        <v>0</v>
      </c>
      <c r="Y34" s="51">
        <f>Y9</f>
        <v>0</v>
      </c>
      <c r="Z34" s="337"/>
      <c r="AA34" s="43" t="s">
        <v>170</v>
      </c>
      <c r="AB34" s="51">
        <f>AB9</f>
        <v>0</v>
      </c>
      <c r="AC34" s="51">
        <f>AC9</f>
        <v>0</v>
      </c>
      <c r="AD34" s="51">
        <f>AD9</f>
        <v>0</v>
      </c>
      <c r="AE34" s="51">
        <f>AE9</f>
        <v>0</v>
      </c>
      <c r="AF34" s="51">
        <f>AF9</f>
        <v>0</v>
      </c>
      <c r="AH34" s="435">
        <f t="shared" si="18"/>
        <v>0</v>
      </c>
      <c r="AI34" s="435">
        <f t="shared" si="18"/>
        <v>0</v>
      </c>
      <c r="AJ34" s="435">
        <f t="shared" si="18"/>
        <v>0</v>
      </c>
      <c r="AK34" s="435">
        <f t="shared" si="18"/>
        <v>0</v>
      </c>
      <c r="AL34" s="435">
        <f t="shared" si="39"/>
        <v>0</v>
      </c>
      <c r="AM34" s="444"/>
    </row>
    <row r="35" spans="1:50" s="97" customFormat="1">
      <c r="A35" s="42">
        <v>9200</v>
      </c>
      <c r="B35" s="52" t="s">
        <v>2</v>
      </c>
      <c r="C35" s="53">
        <f>'PLAN 2018'!C27</f>
        <v>7586837.3716666363</v>
      </c>
      <c r="D35" s="53">
        <f>'PLAN 2018'!D27</f>
        <v>8031805.1277944446</v>
      </c>
      <c r="E35" s="53">
        <f>'PLAN 2018'!E27</f>
        <v>8777026.5634888895</v>
      </c>
      <c r="F35" s="53">
        <f t="shared" ref="F35:G35" si="92">F13-F29</f>
        <v>9587596.1835248079</v>
      </c>
      <c r="G35" s="53">
        <f t="shared" si="92"/>
        <v>9651192.9794993922</v>
      </c>
      <c r="H35" s="53">
        <f t="shared" ref="H35:K35" si="93">H13-H29</f>
        <v>21970738.779499393</v>
      </c>
      <c r="I35" s="53">
        <f t="shared" si="93"/>
        <v>21970738.779499393</v>
      </c>
      <c r="J35" s="53">
        <f t="shared" si="93"/>
        <v>21970738.779499393</v>
      </c>
      <c r="K35" s="53">
        <f t="shared" si="93"/>
        <v>21970738.779499393</v>
      </c>
      <c r="L35" s="337"/>
      <c r="M35" s="52" t="s">
        <v>2</v>
      </c>
      <c r="N35" s="53" t="e">
        <f t="shared" ref="N35:R35" si="94">N13-N29</f>
        <v>#REF!</v>
      </c>
      <c r="O35" s="53" t="e">
        <f t="shared" si="94"/>
        <v>#REF!</v>
      </c>
      <c r="P35" s="53" t="e">
        <f t="shared" si="94"/>
        <v>#REF!</v>
      </c>
      <c r="Q35" s="53" t="e">
        <f t="shared" si="94"/>
        <v>#REF!</v>
      </c>
      <c r="R35" s="53" t="e">
        <f t="shared" si="94"/>
        <v>#REF!</v>
      </c>
      <c r="S35" s="337"/>
      <c r="T35" s="52" t="s">
        <v>2</v>
      </c>
      <c r="U35" s="53">
        <f t="shared" ref="U35:Y35" si="95">U13-U29</f>
        <v>8884965.4742856305</v>
      </c>
      <c r="V35" s="53">
        <f t="shared" si="95"/>
        <v>26713949.089694452</v>
      </c>
      <c r="W35" s="53">
        <f t="shared" si="95"/>
        <v>31243685.345851071</v>
      </c>
      <c r="X35" s="53">
        <f t="shared" si="95"/>
        <v>34368053.880436175</v>
      </c>
      <c r="Y35" s="53">
        <f t="shared" si="95"/>
        <v>37804859.268479794</v>
      </c>
      <c r="Z35" s="337"/>
      <c r="AA35" s="52" t="s">
        <v>2</v>
      </c>
      <c r="AB35" s="53">
        <f t="shared" ref="AB35:AF35" si="96">AB13-AB29</f>
        <v>161787.50521376042</v>
      </c>
      <c r="AC35" s="53">
        <f t="shared" si="96"/>
        <v>161787.50521376042</v>
      </c>
      <c r="AD35" s="53">
        <f t="shared" si="96"/>
        <v>161787.50521376042</v>
      </c>
      <c r="AE35" s="53">
        <f t="shared" si="96"/>
        <v>161787.50521376042</v>
      </c>
      <c r="AF35" s="53">
        <f t="shared" si="96"/>
        <v>161787.50521376042</v>
      </c>
      <c r="AH35" s="435" t="e">
        <f t="shared" si="18"/>
        <v>#REF!</v>
      </c>
      <c r="AI35" s="435" t="e">
        <f t="shared" si="18"/>
        <v>#REF!</v>
      </c>
      <c r="AJ35" s="435" t="e">
        <f t="shared" si="18"/>
        <v>#REF!</v>
      </c>
      <c r="AK35" s="435" t="e">
        <f t="shared" si="18"/>
        <v>#REF!</v>
      </c>
      <c r="AL35" s="435" t="e">
        <f t="shared" si="39"/>
        <v>#REF!</v>
      </c>
      <c r="AM35" s="444"/>
    </row>
    <row r="36" spans="1:50" s="120" customFormat="1" ht="26.1" customHeight="1" outlineLevel="2">
      <c r="A36" s="79">
        <v>9291</v>
      </c>
      <c r="B36" s="118" t="s">
        <v>97</v>
      </c>
      <c r="C36" s="119">
        <f>'PLAN 2018'!C28</f>
        <v>0.22596685738468761</v>
      </c>
      <c r="D36" s="119">
        <f>'PLAN 2018'!D28</f>
        <v>0.21935535242133303</v>
      </c>
      <c r="E36" s="119">
        <f>'PLAN 2018'!E28</f>
        <v>0.30586186959557388</v>
      </c>
      <c r="F36" s="119">
        <f t="shared" ref="F36:K37" si="97">IF(F5=0,0,F30/F5)</f>
        <v>0.21774723130614401</v>
      </c>
      <c r="G36" s="119">
        <f t="shared" si="97"/>
        <v>0.13969052830188658</v>
      </c>
      <c r="H36" s="119">
        <f t="shared" si="97"/>
        <v>1</v>
      </c>
      <c r="I36" s="119">
        <f t="shared" si="97"/>
        <v>1</v>
      </c>
      <c r="J36" s="119">
        <f t="shared" si="97"/>
        <v>1</v>
      </c>
      <c r="K36" s="119">
        <f t="shared" si="97"/>
        <v>1</v>
      </c>
      <c r="L36" s="336"/>
      <c r="M36" s="118" t="s">
        <v>97</v>
      </c>
      <c r="N36" s="119">
        <f t="shared" ref="N36:R37" si="98">IF(N5=0,0,N30/N5)</f>
        <v>0</v>
      </c>
      <c r="O36" s="119">
        <f t="shared" si="98"/>
        <v>0</v>
      </c>
      <c r="P36" s="119">
        <f t="shared" si="98"/>
        <v>0</v>
      </c>
      <c r="Q36" s="119">
        <f t="shared" si="98"/>
        <v>0</v>
      </c>
      <c r="R36" s="119">
        <f t="shared" si="98"/>
        <v>0</v>
      </c>
      <c r="S36" s="336"/>
      <c r="T36" s="118" t="s">
        <v>97</v>
      </c>
      <c r="U36" s="119">
        <f t="shared" ref="U36:Y37" si="99">IF(U5=0,0,U30/U5)</f>
        <v>0.13969052830188658</v>
      </c>
      <c r="V36" s="119">
        <f t="shared" si="99"/>
        <v>1</v>
      </c>
      <c r="W36" s="119">
        <f t="shared" si="99"/>
        <v>1</v>
      </c>
      <c r="X36" s="119">
        <f t="shared" si="99"/>
        <v>1</v>
      </c>
      <c r="Y36" s="119">
        <f t="shared" si="99"/>
        <v>1</v>
      </c>
      <c r="Z36" s="336"/>
      <c r="AA36" s="118" t="s">
        <v>97</v>
      </c>
      <c r="AB36" s="119">
        <f t="shared" ref="AB36:AF37" si="100">IF(AB5=0,0,AB30/AB5)</f>
        <v>0</v>
      </c>
      <c r="AC36" s="119">
        <f t="shared" si="100"/>
        <v>0</v>
      </c>
      <c r="AD36" s="119">
        <f t="shared" si="100"/>
        <v>0</v>
      </c>
      <c r="AE36" s="119">
        <f t="shared" si="100"/>
        <v>0</v>
      </c>
      <c r="AF36" s="119">
        <f t="shared" si="100"/>
        <v>0</v>
      </c>
      <c r="AH36" s="435">
        <f t="shared" si="18"/>
        <v>0</v>
      </c>
      <c r="AI36" s="435">
        <f t="shared" si="18"/>
        <v>0</v>
      </c>
      <c r="AJ36" s="435">
        <f t="shared" si="18"/>
        <v>0</v>
      </c>
      <c r="AK36" s="435">
        <f t="shared" si="18"/>
        <v>0</v>
      </c>
      <c r="AL36" s="435">
        <f t="shared" si="39"/>
        <v>0</v>
      </c>
      <c r="AM36" s="444"/>
    </row>
    <row r="37" spans="1:50" s="120" customFormat="1" outlineLevel="2">
      <c r="A37" s="79">
        <v>9292</v>
      </c>
      <c r="B37" s="118" t="s">
        <v>6</v>
      </c>
      <c r="C37" s="119">
        <f>'PLAN 2018'!C29</f>
        <v>0.5</v>
      </c>
      <c r="D37" s="119">
        <f>'PLAN 2018'!D29</f>
        <v>0.46999999999999992</v>
      </c>
      <c r="E37" s="119">
        <f>'PLAN 2018'!E29</f>
        <v>0.43999999999999995</v>
      </c>
      <c r="F37" s="119">
        <f t="shared" si="97"/>
        <v>0.43999999999999995</v>
      </c>
      <c r="G37" s="119">
        <f t="shared" si="97"/>
        <v>0.45715692677939607</v>
      </c>
      <c r="H37" s="428">
        <f t="shared" si="97"/>
        <v>1</v>
      </c>
      <c r="I37" s="428">
        <f t="shared" si="97"/>
        <v>1</v>
      </c>
      <c r="J37" s="428">
        <f t="shared" si="97"/>
        <v>1</v>
      </c>
      <c r="K37" s="428">
        <f t="shared" si="97"/>
        <v>1</v>
      </c>
      <c r="L37" s="336"/>
      <c r="M37" s="118" t="s">
        <v>6</v>
      </c>
      <c r="N37" s="119">
        <f t="shared" si="98"/>
        <v>0</v>
      </c>
      <c r="O37" s="119">
        <f t="shared" si="98"/>
        <v>0</v>
      </c>
      <c r="P37" s="119">
        <f t="shared" si="98"/>
        <v>0</v>
      </c>
      <c r="Q37" s="119">
        <f t="shared" si="98"/>
        <v>0</v>
      </c>
      <c r="R37" s="119">
        <f t="shared" si="98"/>
        <v>0</v>
      </c>
      <c r="S37" s="336"/>
      <c r="T37" s="118" t="s">
        <v>6</v>
      </c>
      <c r="U37" s="119">
        <f t="shared" si="99"/>
        <v>0.45715692677939607</v>
      </c>
      <c r="V37" s="119">
        <f t="shared" si="99"/>
        <v>1</v>
      </c>
      <c r="W37" s="119">
        <f t="shared" si="99"/>
        <v>1</v>
      </c>
      <c r="X37" s="119">
        <f t="shared" si="99"/>
        <v>1</v>
      </c>
      <c r="Y37" s="119">
        <f t="shared" si="99"/>
        <v>1</v>
      </c>
      <c r="Z37" s="336"/>
      <c r="AA37" s="118" t="s">
        <v>6</v>
      </c>
      <c r="AB37" s="119">
        <f t="shared" si="100"/>
        <v>0</v>
      </c>
      <c r="AC37" s="119">
        <f t="shared" si="100"/>
        <v>0</v>
      </c>
      <c r="AD37" s="119">
        <f t="shared" si="100"/>
        <v>0</v>
      </c>
      <c r="AE37" s="119">
        <f t="shared" si="100"/>
        <v>0</v>
      </c>
      <c r="AF37" s="119">
        <f t="shared" si="100"/>
        <v>0</v>
      </c>
      <c r="AH37" s="435">
        <f t="shared" si="18"/>
        <v>0</v>
      </c>
      <c r="AI37" s="435">
        <f t="shared" si="18"/>
        <v>0</v>
      </c>
      <c r="AJ37" s="435">
        <f t="shared" si="18"/>
        <v>0</v>
      </c>
      <c r="AK37" s="435">
        <f t="shared" si="18"/>
        <v>0</v>
      </c>
      <c r="AL37" s="435">
        <f t="shared" si="39"/>
        <v>0</v>
      </c>
      <c r="AM37" s="444"/>
    </row>
    <row r="38" spans="1:50" s="120" customFormat="1" outlineLevel="2">
      <c r="A38" s="79">
        <v>9293</v>
      </c>
      <c r="B38" s="118" t="s">
        <v>474</v>
      </c>
      <c r="C38" s="119">
        <f>'PLAN 2018'!C30</f>
        <v>0.39183645119843297</v>
      </c>
      <c r="D38" s="119">
        <f>'PLAN 2018'!D30</f>
        <v>0.38966794375278707</v>
      </c>
      <c r="E38" s="119">
        <f>'PLAN 2018'!E30</f>
        <v>0.38537907861571047</v>
      </c>
      <c r="F38" s="119">
        <f>IF(F7=0,0,F32/F7)</f>
        <v>0.37999999999999995</v>
      </c>
      <c r="G38" s="119">
        <f>IF(G7=0,0,G32/G7)</f>
        <v>0.38000000000000012</v>
      </c>
      <c r="H38" s="119">
        <f>G38</f>
        <v>0.38000000000000012</v>
      </c>
      <c r="I38" s="119">
        <f t="shared" ref="I38:K38" si="101">H38</f>
        <v>0.38000000000000012</v>
      </c>
      <c r="J38" s="119">
        <f t="shared" si="101"/>
        <v>0.38000000000000012</v>
      </c>
      <c r="K38" s="119">
        <f t="shared" si="101"/>
        <v>0.38000000000000012</v>
      </c>
      <c r="L38" s="336"/>
      <c r="M38" s="118" t="s">
        <v>7</v>
      </c>
      <c r="N38" s="119">
        <f>IF(N7=0,0,N32/N7)</f>
        <v>0</v>
      </c>
      <c r="O38" s="119">
        <f>N38</f>
        <v>0</v>
      </c>
      <c r="P38" s="119">
        <f t="shared" ref="P38:P39" si="102">O38</f>
        <v>0</v>
      </c>
      <c r="Q38" s="119">
        <f t="shared" ref="Q38:Q39" si="103">P38</f>
        <v>0</v>
      </c>
      <c r="R38" s="119">
        <f t="shared" ref="R38:R39" si="104">Q38</f>
        <v>0</v>
      </c>
      <c r="S38" s="336"/>
      <c r="T38" s="118" t="s">
        <v>7</v>
      </c>
      <c r="U38" s="119">
        <f>IF(U7=0,0,U32/U7)</f>
        <v>0.38000000000000012</v>
      </c>
      <c r="V38" s="119">
        <f>U38</f>
        <v>0.38000000000000012</v>
      </c>
      <c r="W38" s="119">
        <f t="shared" ref="W38:W39" si="105">V38</f>
        <v>0.38000000000000012</v>
      </c>
      <c r="X38" s="119">
        <f t="shared" ref="X38:X39" si="106">W38</f>
        <v>0.38000000000000012</v>
      </c>
      <c r="Y38" s="119">
        <f t="shared" ref="Y38:Y39" si="107">X38</f>
        <v>0.38000000000000012</v>
      </c>
      <c r="Z38" s="336"/>
      <c r="AA38" s="118" t="s">
        <v>7</v>
      </c>
      <c r="AB38" s="119">
        <f>IF(AB7=0,0,AB32/AB7)</f>
        <v>0</v>
      </c>
      <c r="AC38" s="119">
        <f>AB38</f>
        <v>0</v>
      </c>
      <c r="AD38" s="119">
        <f t="shared" ref="AD38:AD39" si="108">AC38</f>
        <v>0</v>
      </c>
      <c r="AE38" s="119">
        <f t="shared" ref="AE38:AE39" si="109">AD38</f>
        <v>0</v>
      </c>
      <c r="AF38" s="119">
        <f t="shared" ref="AF38:AF39" si="110">AE38</f>
        <v>0</v>
      </c>
      <c r="AH38" s="435">
        <f t="shared" si="18"/>
        <v>0</v>
      </c>
      <c r="AI38" s="435">
        <f t="shared" si="18"/>
        <v>0</v>
      </c>
      <c r="AJ38" s="435">
        <f t="shared" si="18"/>
        <v>0</v>
      </c>
      <c r="AK38" s="435">
        <f t="shared" si="18"/>
        <v>0</v>
      </c>
      <c r="AL38" s="435">
        <f t="shared" si="39"/>
        <v>0</v>
      </c>
      <c r="AM38" s="444"/>
    </row>
    <row r="39" spans="1:50" s="120" customFormat="1" outlineLevel="2">
      <c r="A39" s="79">
        <v>9294</v>
      </c>
      <c r="B39" s="118" t="s">
        <v>475</v>
      </c>
      <c r="C39" s="119">
        <f>'PLAN 2018'!C31</f>
        <v>0.15898944006607077</v>
      </c>
      <c r="D39" s="119">
        <f>'PLAN 2018'!D31</f>
        <v>0.2113399172383692</v>
      </c>
      <c r="E39" s="119">
        <f>'PLAN 2018'!E31</f>
        <v>0.19055093376672713</v>
      </c>
      <c r="F39" s="119">
        <f>IF(F8=0,0,F33/F8)</f>
        <v>0.17000000000000012</v>
      </c>
      <c r="G39" s="119">
        <f>IF(G8=0,0,G33/G8)</f>
        <v>0.18600000000000017</v>
      </c>
      <c r="H39" s="119">
        <f>G39</f>
        <v>0.18600000000000017</v>
      </c>
      <c r="I39" s="119">
        <f t="shared" ref="I39:K39" si="111">H39</f>
        <v>0.18600000000000017</v>
      </c>
      <c r="J39" s="119">
        <f t="shared" si="111"/>
        <v>0.18600000000000017</v>
      </c>
      <c r="K39" s="119">
        <f t="shared" si="111"/>
        <v>0.18600000000000017</v>
      </c>
      <c r="L39" s="336"/>
      <c r="M39" s="118" t="s">
        <v>98</v>
      </c>
      <c r="N39" s="119">
        <f>IF(N8=0,0,N33/N8)</f>
        <v>0</v>
      </c>
      <c r="O39" s="119">
        <f>N39</f>
        <v>0</v>
      </c>
      <c r="P39" s="119">
        <f t="shared" si="102"/>
        <v>0</v>
      </c>
      <c r="Q39" s="119">
        <f t="shared" si="103"/>
        <v>0</v>
      </c>
      <c r="R39" s="119">
        <f t="shared" si="104"/>
        <v>0</v>
      </c>
      <c r="S39" s="336"/>
      <c r="T39" s="118" t="s">
        <v>98</v>
      </c>
      <c r="U39" s="119">
        <f>IF(U8=0,0,U33/U8)</f>
        <v>0</v>
      </c>
      <c r="V39" s="119">
        <f>U39</f>
        <v>0</v>
      </c>
      <c r="W39" s="119">
        <f t="shared" si="105"/>
        <v>0</v>
      </c>
      <c r="X39" s="119">
        <f t="shared" si="106"/>
        <v>0</v>
      </c>
      <c r="Y39" s="119">
        <f t="shared" si="107"/>
        <v>0</v>
      </c>
      <c r="Z39" s="336"/>
      <c r="AA39" s="118" t="s">
        <v>98</v>
      </c>
      <c r="AB39" s="119">
        <f>IF(AB8=0,0,AB33/AB8)</f>
        <v>0.18600000000000017</v>
      </c>
      <c r="AC39" s="119">
        <f>AB39</f>
        <v>0.18600000000000017</v>
      </c>
      <c r="AD39" s="119">
        <f t="shared" si="108"/>
        <v>0.18600000000000017</v>
      </c>
      <c r="AE39" s="119">
        <f t="shared" si="109"/>
        <v>0.18600000000000017</v>
      </c>
      <c r="AF39" s="119">
        <f t="shared" si="110"/>
        <v>0.18600000000000017</v>
      </c>
      <c r="AH39" s="435">
        <f t="shared" si="18"/>
        <v>0</v>
      </c>
      <c r="AI39" s="435">
        <f t="shared" si="18"/>
        <v>0</v>
      </c>
      <c r="AJ39" s="435">
        <f t="shared" si="18"/>
        <v>0</v>
      </c>
      <c r="AK39" s="435">
        <f t="shared" si="18"/>
        <v>0</v>
      </c>
      <c r="AL39" s="435">
        <f t="shared" si="39"/>
        <v>0</v>
      </c>
      <c r="AM39" s="444"/>
    </row>
    <row r="40" spans="1:50" s="120" customFormat="1" outlineLevel="2">
      <c r="A40" s="79">
        <v>9295</v>
      </c>
      <c r="B40" s="118" t="s">
        <v>172</v>
      </c>
      <c r="C40" s="119">
        <f>'PLAN 2018'!C32</f>
        <v>1</v>
      </c>
      <c r="D40" s="119">
        <f>'PLAN 2018'!D32</f>
        <v>1</v>
      </c>
      <c r="E40" s="119">
        <f>'PLAN 2018'!E32</f>
        <v>1</v>
      </c>
      <c r="F40" s="119">
        <f t="shared" ref="F40:K40" si="112">F34/F9</f>
        <v>1</v>
      </c>
      <c r="G40" s="119">
        <f t="shared" si="112"/>
        <v>1</v>
      </c>
      <c r="H40" s="119">
        <f t="shared" si="112"/>
        <v>1</v>
      </c>
      <c r="I40" s="119">
        <f t="shared" si="112"/>
        <v>1</v>
      </c>
      <c r="J40" s="119">
        <f t="shared" si="112"/>
        <v>1</v>
      </c>
      <c r="K40" s="119">
        <f t="shared" si="112"/>
        <v>1</v>
      </c>
      <c r="L40" s="336"/>
      <c r="M40" s="118" t="s">
        <v>172</v>
      </c>
      <c r="N40" s="119">
        <f>N34/N9</f>
        <v>1</v>
      </c>
      <c r="O40" s="119">
        <f>O34/O9</f>
        <v>1</v>
      </c>
      <c r="P40" s="119">
        <f>P34/P9</f>
        <v>1</v>
      </c>
      <c r="Q40" s="119">
        <f>Q34/Q9</f>
        <v>1</v>
      </c>
      <c r="R40" s="119">
        <f>R34/R9</f>
        <v>1</v>
      </c>
      <c r="S40" s="336"/>
      <c r="T40" s="118" t="s">
        <v>172</v>
      </c>
      <c r="U40" s="119" t="str">
        <f>IFERROR(U34/U9,"")</f>
        <v/>
      </c>
      <c r="V40" s="119" t="e">
        <f>V34/V9</f>
        <v>#DIV/0!</v>
      </c>
      <c r="W40" s="119" t="e">
        <f>W34/W9</f>
        <v>#DIV/0!</v>
      </c>
      <c r="X40" s="119" t="e">
        <f>X34/X9</f>
        <v>#DIV/0!</v>
      </c>
      <c r="Y40" s="119" t="e">
        <f>Y34/Y9</f>
        <v>#DIV/0!</v>
      </c>
      <c r="Z40" s="336"/>
      <c r="AA40" s="118" t="s">
        <v>172</v>
      </c>
      <c r="AB40" s="119" t="str">
        <f>IFERROR(AB34/AB9,"")</f>
        <v/>
      </c>
      <c r="AC40" s="119" t="e">
        <f>AC34/AC9</f>
        <v>#DIV/0!</v>
      </c>
      <c r="AD40" s="119" t="e">
        <f>AD34/AD9</f>
        <v>#DIV/0!</v>
      </c>
      <c r="AE40" s="119" t="e">
        <f>AE34/AE9</f>
        <v>#DIV/0!</v>
      </c>
      <c r="AF40" s="119" t="e">
        <f>AF34/AF9</f>
        <v>#DIV/0!</v>
      </c>
      <c r="AH40" s="435">
        <f t="shared" si="18"/>
        <v>0</v>
      </c>
      <c r="AI40" s="435" t="e">
        <f t="shared" si="18"/>
        <v>#DIV/0!</v>
      </c>
      <c r="AJ40" s="435" t="e">
        <f t="shared" si="18"/>
        <v>#DIV/0!</v>
      </c>
      <c r="AK40" s="435" t="e">
        <f t="shared" si="18"/>
        <v>#DIV/0!</v>
      </c>
      <c r="AL40" s="435" t="e">
        <f t="shared" si="39"/>
        <v>#DIV/0!</v>
      </c>
      <c r="AM40" s="444"/>
    </row>
    <row r="41" spans="1:50" s="99" customFormat="1" ht="26.1" customHeight="1">
      <c r="A41" s="54">
        <v>9290</v>
      </c>
      <c r="B41" s="55" t="s">
        <v>10</v>
      </c>
      <c r="C41" s="56">
        <f>'PLAN 2018'!C33</f>
        <v>0.41165972685899965</v>
      </c>
      <c r="D41" s="56">
        <f>'PLAN 2018'!D33</f>
        <v>0.39411124016208449</v>
      </c>
      <c r="E41" s="56">
        <f>'PLAN 2018'!E33</f>
        <v>0.39352686873905635</v>
      </c>
      <c r="F41" s="56">
        <f t="shared" ref="F41:K41" si="113">F35/F13</f>
        <v>0.39294407277466403</v>
      </c>
      <c r="G41" s="56">
        <f t="shared" si="113"/>
        <v>0.38139576064102676</v>
      </c>
      <c r="H41" s="56">
        <f t="shared" si="113"/>
        <v>0.86823946495028248</v>
      </c>
      <c r="I41" s="56">
        <f t="shared" si="113"/>
        <v>0.86823946495028248</v>
      </c>
      <c r="J41" s="56">
        <f t="shared" si="113"/>
        <v>0.86823946495028248</v>
      </c>
      <c r="K41" s="56">
        <f t="shared" si="113"/>
        <v>0.86823946495028248</v>
      </c>
      <c r="L41" s="338"/>
      <c r="M41" s="55" t="s">
        <v>10</v>
      </c>
      <c r="N41" s="56" t="e">
        <f>N35/N13</f>
        <v>#REF!</v>
      </c>
      <c r="O41" s="56" t="e">
        <f>O35/O13</f>
        <v>#REF!</v>
      </c>
      <c r="P41" s="56" t="e">
        <f>P35/P13</f>
        <v>#REF!</v>
      </c>
      <c r="Q41" s="56" t="e">
        <f>Q35/Q13</f>
        <v>#REF!</v>
      </c>
      <c r="R41" s="56" t="e">
        <f>R35/R13</f>
        <v>#REF!</v>
      </c>
      <c r="S41" s="338"/>
      <c r="T41" s="55" t="s">
        <v>10</v>
      </c>
      <c r="U41" s="56">
        <f>U35/U13</f>
        <v>0.37283750284568945</v>
      </c>
      <c r="V41" s="56">
        <f>V35/V13</f>
        <v>0.90241542462345148</v>
      </c>
      <c r="W41" s="56">
        <f>W35/W13</f>
        <v>0.907683827872102</v>
      </c>
      <c r="X41" s="56">
        <f>X35/X13</f>
        <v>0.907683827872102</v>
      </c>
      <c r="Y41" s="56">
        <f>Y35/Y13</f>
        <v>0.907683827872102</v>
      </c>
      <c r="Z41" s="338"/>
      <c r="AA41" s="55" t="s">
        <v>10</v>
      </c>
      <c r="AB41" s="56">
        <f>AB35/AB13</f>
        <v>0.18600000000000017</v>
      </c>
      <c r="AC41" s="56">
        <f>AC35/AC13</f>
        <v>0.18600000000000017</v>
      </c>
      <c r="AD41" s="56">
        <f>AD35/AD13</f>
        <v>0.18600000000000017</v>
      </c>
      <c r="AE41" s="56">
        <f>AE35/AE13</f>
        <v>0.18600000000000017</v>
      </c>
      <c r="AF41" s="56">
        <f>AF35/AF13</f>
        <v>0.18600000000000017</v>
      </c>
      <c r="AH41" s="435"/>
      <c r="AI41" s="435"/>
      <c r="AJ41" s="435"/>
      <c r="AK41" s="435"/>
      <c r="AL41" s="435"/>
      <c r="AM41" s="444"/>
    </row>
    <row r="42" spans="1:50" s="410" customFormat="1" ht="15.75" customHeight="1" outlineLevel="1">
      <c r="A42" s="406"/>
      <c r="B42" s="407" t="s">
        <v>440</v>
      </c>
      <c r="C42" s="408">
        <f>C29/C13</f>
        <v>0.58834027314100035</v>
      </c>
      <c r="D42" s="408">
        <f t="shared" ref="D42:L42" si="114">D29/D13</f>
        <v>0.60588875983791546</v>
      </c>
      <c r="E42" s="408">
        <f t="shared" si="114"/>
        <v>0.6064731312609436</v>
      </c>
      <c r="F42" s="408">
        <f t="shared" si="114"/>
        <v>0.60705592722533597</v>
      </c>
      <c r="G42" s="408">
        <f t="shared" si="114"/>
        <v>0.61860423935897324</v>
      </c>
      <c r="H42" s="408">
        <f t="shared" si="114"/>
        <v>0.13176053504971749</v>
      </c>
      <c r="I42" s="408">
        <f t="shared" si="114"/>
        <v>0.13176053504971749</v>
      </c>
      <c r="J42" s="408">
        <f t="shared" si="114"/>
        <v>0.13176053504971749</v>
      </c>
      <c r="K42" s="408">
        <f t="shared" si="114"/>
        <v>0.13176053504971749</v>
      </c>
      <c r="L42" s="408">
        <f t="shared" si="114"/>
        <v>0</v>
      </c>
      <c r="M42" s="407"/>
      <c r="N42" s="408" t="str">
        <f t="shared" ref="N42:R42" si="115">IFERROR(N29/N13,"")</f>
        <v/>
      </c>
      <c r="O42" s="408" t="str">
        <f t="shared" si="115"/>
        <v/>
      </c>
      <c r="P42" s="408" t="str">
        <f t="shared" si="115"/>
        <v/>
      </c>
      <c r="Q42" s="408" t="str">
        <f t="shared" si="115"/>
        <v/>
      </c>
      <c r="R42" s="408" t="str">
        <f t="shared" si="115"/>
        <v/>
      </c>
      <c r="S42" s="409"/>
      <c r="T42" s="407"/>
      <c r="U42" s="408">
        <f t="shared" ref="U42:Y42" si="116">IFERROR(U29/U13,"")</f>
        <v>0.62716249715431061</v>
      </c>
      <c r="V42" s="408">
        <f t="shared" si="116"/>
        <v>9.7584575376548521E-2</v>
      </c>
      <c r="W42" s="408">
        <f t="shared" si="116"/>
        <v>9.2316172127898014E-2</v>
      </c>
      <c r="X42" s="408">
        <f t="shared" si="116"/>
        <v>9.2316172127898041E-2</v>
      </c>
      <c r="Y42" s="408">
        <f t="shared" si="116"/>
        <v>9.2316172127898027E-2</v>
      </c>
      <c r="Z42" s="409"/>
      <c r="AA42" s="407"/>
      <c r="AB42" s="408">
        <f t="shared" ref="AB42:AF42" si="117">IFERROR(AB29/AB13,"")</f>
        <v>0.81399999999999983</v>
      </c>
      <c r="AC42" s="408">
        <f t="shared" si="117"/>
        <v>0.81399999999999983</v>
      </c>
      <c r="AD42" s="408">
        <f t="shared" si="117"/>
        <v>0.81399999999999983</v>
      </c>
      <c r="AE42" s="408">
        <f t="shared" si="117"/>
        <v>0.81399999999999983</v>
      </c>
      <c r="AF42" s="408">
        <f t="shared" si="117"/>
        <v>0.81399999999999983</v>
      </c>
      <c r="AH42" s="441"/>
      <c r="AI42" s="441"/>
      <c r="AJ42" s="441"/>
      <c r="AK42" s="441"/>
      <c r="AL42" s="441"/>
      <c r="AM42" s="444"/>
      <c r="AN42" s="410" t="s">
        <v>430</v>
      </c>
    </row>
    <row r="43" spans="1:50" s="416" customFormat="1" ht="7.5" customHeight="1" outlineLevel="1">
      <c r="A43" s="411"/>
      <c r="B43" s="412"/>
      <c r="C43" s="413"/>
      <c r="D43" s="413"/>
      <c r="E43" s="413"/>
      <c r="F43" s="414"/>
      <c r="G43" s="414"/>
      <c r="H43" s="414"/>
      <c r="I43" s="414"/>
      <c r="J43" s="414"/>
      <c r="K43" s="414"/>
      <c r="L43" s="415"/>
      <c r="M43" s="412"/>
      <c r="N43" s="414"/>
      <c r="O43" s="413"/>
      <c r="P43" s="413"/>
      <c r="Q43" s="413"/>
      <c r="R43" s="413"/>
      <c r="S43" s="415"/>
      <c r="T43" s="412"/>
      <c r="U43" s="414"/>
      <c r="V43" s="413"/>
      <c r="W43" s="413"/>
      <c r="X43" s="413"/>
      <c r="Y43" s="413"/>
      <c r="Z43" s="415"/>
      <c r="AA43" s="412"/>
      <c r="AB43" s="414"/>
      <c r="AC43" s="413"/>
      <c r="AD43" s="413"/>
      <c r="AE43" s="413"/>
      <c r="AF43" s="413"/>
      <c r="AH43" s="442"/>
      <c r="AI43" s="442"/>
      <c r="AJ43" s="442"/>
      <c r="AK43" s="442"/>
      <c r="AL43" s="442"/>
      <c r="AM43" s="444"/>
    </row>
    <row r="44" spans="1:50" s="96" customFormat="1" ht="15.75" customHeight="1" outlineLevel="1">
      <c r="A44" s="42">
        <v>3110</v>
      </c>
      <c r="B44" s="43" t="s">
        <v>99</v>
      </c>
      <c r="C44" s="51">
        <f>'PLAN 2018'!C34</f>
        <v>48709.158333333333</v>
      </c>
      <c r="D44" s="51">
        <f>'PLAN 2018'!D34</f>
        <v>43194.37</v>
      </c>
      <c r="E44" s="51">
        <f>'PLAN 2018'!E34</f>
        <v>114315.77333333333</v>
      </c>
      <c r="F44" s="51">
        <f>'PLAN 2018'!S34</f>
        <v>120999.99999999999</v>
      </c>
      <c r="G44" s="51">
        <f>'PLAN 2018'!AG34</f>
        <v>596050</v>
      </c>
      <c r="H44" s="51">
        <f>(G44-925000)*$L44</f>
        <v>-328950</v>
      </c>
      <c r="I44" s="51">
        <f t="shared" ref="I44:K47" si="118">H44*$L44</f>
        <v>-328950</v>
      </c>
      <c r="J44" s="51">
        <f t="shared" si="118"/>
        <v>-328950</v>
      </c>
      <c r="K44" s="51">
        <f t="shared" si="118"/>
        <v>-328950</v>
      </c>
      <c r="L44" s="333">
        <v>1</v>
      </c>
      <c r="M44" s="43" t="s">
        <v>99</v>
      </c>
      <c r="N44" s="51">
        <f>'PLAN 2018'!AN34</f>
        <v>0</v>
      </c>
      <c r="O44" s="51">
        <v>0</v>
      </c>
      <c r="P44" s="51">
        <f t="shared" ref="P44:R48" si="119">O44*$L44</f>
        <v>0</v>
      </c>
      <c r="Q44" s="51">
        <f t="shared" si="119"/>
        <v>0</v>
      </c>
      <c r="R44" s="51">
        <f t="shared" si="119"/>
        <v>0</v>
      </c>
      <c r="S44" s="333"/>
      <c r="T44" s="43" t="s">
        <v>99</v>
      </c>
      <c r="U44" s="51" t="e">
        <f>G44-AB44</f>
        <v>#REF!</v>
      </c>
      <c r="V44" s="51" t="e">
        <f>(U44-925000)*$L44</f>
        <v>#REF!</v>
      </c>
      <c r="W44" s="51" t="e">
        <f t="shared" ref="W44:Y47" si="120">V44*$L44</f>
        <v>#REF!</v>
      </c>
      <c r="X44" s="51" t="e">
        <f t="shared" si="120"/>
        <v>#REF!</v>
      </c>
      <c r="Y44" s="51" t="e">
        <f t="shared" si="120"/>
        <v>#REF!</v>
      </c>
      <c r="Z44" s="333"/>
      <c r="AA44" s="43" t="s">
        <v>99</v>
      </c>
      <c r="AB44" s="51" t="e">
        <f>#REF!</f>
        <v>#REF!</v>
      </c>
      <c r="AC44" s="51" t="e">
        <f>AB44*$L$44</f>
        <v>#REF!</v>
      </c>
      <c r="AD44" s="51" t="e">
        <f t="shared" ref="AD44:AF44" si="121">AC44*$L$44</f>
        <v>#REF!</v>
      </c>
      <c r="AE44" s="51" t="e">
        <f t="shared" si="121"/>
        <v>#REF!</v>
      </c>
      <c r="AF44" s="51" t="e">
        <f t="shared" si="121"/>
        <v>#REF!</v>
      </c>
      <c r="AH44" s="435" t="e">
        <f t="shared" si="18"/>
        <v>#REF!</v>
      </c>
      <c r="AI44" s="435" t="e">
        <f t="shared" si="18"/>
        <v>#REF!</v>
      </c>
      <c r="AJ44" s="435" t="e">
        <f t="shared" si="18"/>
        <v>#REF!</v>
      </c>
      <c r="AK44" s="435" t="e">
        <f t="shared" si="18"/>
        <v>#REF!</v>
      </c>
      <c r="AL44" s="435" t="e">
        <f t="shared" si="39"/>
        <v>#REF!</v>
      </c>
      <c r="AM44" s="444"/>
      <c r="AN44" s="424">
        <f t="shared" ref="AN44:AR49" si="122">(G44-F44)/F44</f>
        <v>3.9260330578512401</v>
      </c>
      <c r="AO44" s="423">
        <f t="shared" si="122"/>
        <v>-1.5518832312725444</v>
      </c>
      <c r="AP44" s="423">
        <f t="shared" si="122"/>
        <v>0</v>
      </c>
      <c r="AQ44" s="405">
        <f t="shared" si="122"/>
        <v>0</v>
      </c>
      <c r="AR44" s="405">
        <f t="shared" si="122"/>
        <v>0</v>
      </c>
      <c r="AS44" s="410" t="s">
        <v>433</v>
      </c>
      <c r="AT44" s="410"/>
      <c r="AU44" s="410"/>
      <c r="AV44" s="410"/>
      <c r="AW44" s="410"/>
      <c r="AX44" s="410"/>
    </row>
    <row r="45" spans="1:50" s="96" customFormat="1" ht="15.75" customHeight="1" outlineLevel="1">
      <c r="A45" s="42">
        <v>3120</v>
      </c>
      <c r="B45" s="43" t="s">
        <v>100</v>
      </c>
      <c r="C45" s="51">
        <f>'PLAN 2018'!C35</f>
        <v>58225.03</v>
      </c>
      <c r="D45" s="51">
        <f>'PLAN 2018'!D35</f>
        <v>50026.791666666664</v>
      </c>
      <c r="E45" s="51">
        <f>'PLAN 2018'!E35</f>
        <v>39260.041666666664</v>
      </c>
      <c r="F45" s="51">
        <f>'PLAN 2018'!S35</f>
        <v>41000</v>
      </c>
      <c r="G45" s="51">
        <f>'PLAN 2018'!AG35</f>
        <v>53987.5</v>
      </c>
      <c r="H45" s="51">
        <f>G45*$L45</f>
        <v>53987.5</v>
      </c>
      <c r="I45" s="51">
        <f t="shared" si="118"/>
        <v>53987.5</v>
      </c>
      <c r="J45" s="51">
        <f t="shared" si="118"/>
        <v>53987.5</v>
      </c>
      <c r="K45" s="51">
        <f t="shared" si="118"/>
        <v>53987.5</v>
      </c>
      <c r="L45" s="333">
        <v>1</v>
      </c>
      <c r="M45" s="43" t="s">
        <v>100</v>
      </c>
      <c r="N45" s="51">
        <f>'PLAN 2018'!AN35</f>
        <v>0</v>
      </c>
      <c r="O45" s="51">
        <f>N45*$L45</f>
        <v>0</v>
      </c>
      <c r="P45" s="51">
        <f t="shared" si="119"/>
        <v>0</v>
      </c>
      <c r="Q45" s="51">
        <f t="shared" si="119"/>
        <v>0</v>
      </c>
      <c r="R45" s="51">
        <f t="shared" si="119"/>
        <v>0</v>
      </c>
      <c r="S45" s="333"/>
      <c r="T45" s="43" t="s">
        <v>100</v>
      </c>
      <c r="U45" s="51" t="e">
        <f t="shared" ref="U45:U48" si="123">G45-AB45</f>
        <v>#REF!</v>
      </c>
      <c r="V45" s="51" t="e">
        <f>U45*$L45</f>
        <v>#REF!</v>
      </c>
      <c r="W45" s="51" t="e">
        <f t="shared" si="120"/>
        <v>#REF!</v>
      </c>
      <c r="X45" s="51" t="e">
        <f t="shared" si="120"/>
        <v>#REF!</v>
      </c>
      <c r="Y45" s="51" t="e">
        <f t="shared" si="120"/>
        <v>#REF!</v>
      </c>
      <c r="Z45" s="333"/>
      <c r="AA45" s="43" t="s">
        <v>100</v>
      </c>
      <c r="AB45" s="51" t="e">
        <f>#REF!</f>
        <v>#REF!</v>
      </c>
      <c r="AC45" s="51" t="e">
        <f>AB45*$L45</f>
        <v>#REF!</v>
      </c>
      <c r="AD45" s="51" t="e">
        <f t="shared" ref="AD45:AF48" si="124">AC45*$L45</f>
        <v>#REF!</v>
      </c>
      <c r="AE45" s="51" t="e">
        <f t="shared" si="124"/>
        <v>#REF!</v>
      </c>
      <c r="AF45" s="51" t="e">
        <f t="shared" si="124"/>
        <v>#REF!</v>
      </c>
      <c r="AH45" s="435" t="e">
        <f t="shared" si="18"/>
        <v>#REF!</v>
      </c>
      <c r="AI45" s="435" t="e">
        <f t="shared" si="18"/>
        <v>#REF!</v>
      </c>
      <c r="AJ45" s="435" t="e">
        <f t="shared" si="18"/>
        <v>#REF!</v>
      </c>
      <c r="AK45" s="435" t="e">
        <f t="shared" si="18"/>
        <v>#REF!</v>
      </c>
      <c r="AL45" s="435" t="e">
        <f t="shared" si="39"/>
        <v>#REF!</v>
      </c>
      <c r="AM45" s="444"/>
      <c r="AN45" s="405">
        <f t="shared" si="122"/>
        <v>0.31676829268292683</v>
      </c>
      <c r="AO45" s="405">
        <f t="shared" si="122"/>
        <v>0</v>
      </c>
      <c r="AP45" s="405">
        <f t="shared" si="122"/>
        <v>0</v>
      </c>
      <c r="AQ45" s="405">
        <f t="shared" si="122"/>
        <v>0</v>
      </c>
      <c r="AR45" s="405">
        <f t="shared" si="122"/>
        <v>0</v>
      </c>
    </row>
    <row r="46" spans="1:50" s="96" customFormat="1" ht="15.75" customHeight="1" outlineLevel="1">
      <c r="A46" s="42">
        <v>3130</v>
      </c>
      <c r="B46" s="43" t="s">
        <v>101</v>
      </c>
      <c r="C46" s="51">
        <f>'PLAN 2018'!C36</f>
        <v>8749.1883333333335</v>
      </c>
      <c r="D46" s="51">
        <f>'PLAN 2018'!D36</f>
        <v>13754.13</v>
      </c>
      <c r="E46" s="51">
        <f>'PLAN 2018'!E36</f>
        <v>37667.281666666669</v>
      </c>
      <c r="F46" s="51">
        <f>'PLAN 2018'!S36</f>
        <v>43000</v>
      </c>
      <c r="G46" s="51">
        <f>'PLAN 2018'!AG36</f>
        <v>61221.999999999985</v>
      </c>
      <c r="H46" s="51">
        <f>G46*$L46</f>
        <v>61221.999999999985</v>
      </c>
      <c r="I46" s="51">
        <f t="shared" si="118"/>
        <v>61221.999999999985</v>
      </c>
      <c r="J46" s="51">
        <f t="shared" si="118"/>
        <v>61221.999999999985</v>
      </c>
      <c r="K46" s="51">
        <f t="shared" si="118"/>
        <v>61221.999999999985</v>
      </c>
      <c r="L46" s="333">
        <v>1</v>
      </c>
      <c r="M46" s="43" t="s">
        <v>101</v>
      </c>
      <c r="N46" s="51">
        <f>'PLAN 2018'!AN36</f>
        <v>0</v>
      </c>
      <c r="O46" s="51">
        <f>N46*$L46</f>
        <v>0</v>
      </c>
      <c r="P46" s="51">
        <f t="shared" si="119"/>
        <v>0</v>
      </c>
      <c r="Q46" s="51">
        <f t="shared" si="119"/>
        <v>0</v>
      </c>
      <c r="R46" s="51">
        <f t="shared" si="119"/>
        <v>0</v>
      </c>
      <c r="S46" s="333"/>
      <c r="T46" s="43" t="s">
        <v>101</v>
      </c>
      <c r="U46" s="51" t="e">
        <f t="shared" si="123"/>
        <v>#REF!</v>
      </c>
      <c r="V46" s="51" t="e">
        <f>U46*$L46</f>
        <v>#REF!</v>
      </c>
      <c r="W46" s="51" t="e">
        <f t="shared" si="120"/>
        <v>#REF!</v>
      </c>
      <c r="X46" s="51" t="e">
        <f t="shared" si="120"/>
        <v>#REF!</v>
      </c>
      <c r="Y46" s="51" t="e">
        <f t="shared" si="120"/>
        <v>#REF!</v>
      </c>
      <c r="Z46" s="333"/>
      <c r="AA46" s="43" t="s">
        <v>101</v>
      </c>
      <c r="AB46" s="51" t="e">
        <f>#REF!</f>
        <v>#REF!</v>
      </c>
      <c r="AC46" s="51" t="e">
        <f>AB46*$L46</f>
        <v>#REF!</v>
      </c>
      <c r="AD46" s="51" t="e">
        <f t="shared" si="124"/>
        <v>#REF!</v>
      </c>
      <c r="AE46" s="51" t="e">
        <f t="shared" si="124"/>
        <v>#REF!</v>
      </c>
      <c r="AF46" s="51" t="e">
        <f t="shared" si="124"/>
        <v>#REF!</v>
      </c>
      <c r="AH46" s="435" t="e">
        <f t="shared" si="18"/>
        <v>#REF!</v>
      </c>
      <c r="AI46" s="435" t="e">
        <f t="shared" si="18"/>
        <v>#REF!</v>
      </c>
      <c r="AJ46" s="435" t="e">
        <f t="shared" si="18"/>
        <v>#REF!</v>
      </c>
      <c r="AK46" s="435" t="e">
        <f t="shared" si="18"/>
        <v>#REF!</v>
      </c>
      <c r="AL46" s="435" t="e">
        <f t="shared" si="39"/>
        <v>#REF!</v>
      </c>
      <c r="AM46" s="444"/>
      <c r="AN46" s="405">
        <f t="shared" si="122"/>
        <v>0.42376744186046478</v>
      </c>
      <c r="AO46" s="405">
        <f t="shared" si="122"/>
        <v>0</v>
      </c>
      <c r="AP46" s="405">
        <f t="shared" si="122"/>
        <v>0</v>
      </c>
      <c r="AQ46" s="405">
        <f t="shared" si="122"/>
        <v>0</v>
      </c>
      <c r="AR46" s="405">
        <f t="shared" si="122"/>
        <v>0</v>
      </c>
    </row>
    <row r="47" spans="1:50" s="96" customFormat="1" ht="15.75" customHeight="1" outlineLevel="1">
      <c r="A47" s="42">
        <v>3140</v>
      </c>
      <c r="B47" s="43" t="s">
        <v>102</v>
      </c>
      <c r="C47" s="51">
        <f>'PLAN 2018'!C37</f>
        <v>333.33333333333331</v>
      </c>
      <c r="D47" s="51">
        <f>'PLAN 2018'!D37</f>
        <v>9761.51</v>
      </c>
      <c r="E47" s="51">
        <f>'PLAN 2018'!E37</f>
        <v>3377.8066666666668</v>
      </c>
      <c r="F47" s="51">
        <f>'PLAN 2018'!S37</f>
        <v>3700.0000000000005</v>
      </c>
      <c r="G47" s="51">
        <f>'PLAN 2018'!AG37</f>
        <v>30000</v>
      </c>
      <c r="H47" s="51">
        <f>G47*$L47</f>
        <v>30000</v>
      </c>
      <c r="I47" s="51">
        <f t="shared" si="118"/>
        <v>30000</v>
      </c>
      <c r="J47" s="51">
        <f t="shared" si="118"/>
        <v>30000</v>
      </c>
      <c r="K47" s="51">
        <f t="shared" si="118"/>
        <v>30000</v>
      </c>
      <c r="L47" s="333">
        <v>1</v>
      </c>
      <c r="M47" s="43" t="s">
        <v>102</v>
      </c>
      <c r="N47" s="51">
        <f>'PLAN 2018'!AN37</f>
        <v>0</v>
      </c>
      <c r="O47" s="51">
        <f>N47*$L47</f>
        <v>0</v>
      </c>
      <c r="P47" s="51">
        <f t="shared" si="119"/>
        <v>0</v>
      </c>
      <c r="Q47" s="51">
        <f t="shared" si="119"/>
        <v>0</v>
      </c>
      <c r="R47" s="51">
        <f t="shared" si="119"/>
        <v>0</v>
      </c>
      <c r="S47" s="333"/>
      <c r="T47" s="43" t="s">
        <v>102</v>
      </c>
      <c r="U47" s="51" t="e">
        <f t="shared" si="123"/>
        <v>#REF!</v>
      </c>
      <c r="V47" s="51" t="e">
        <f>U47*$L47</f>
        <v>#REF!</v>
      </c>
      <c r="W47" s="51" t="e">
        <f t="shared" si="120"/>
        <v>#REF!</v>
      </c>
      <c r="X47" s="51" t="e">
        <f t="shared" si="120"/>
        <v>#REF!</v>
      </c>
      <c r="Y47" s="51" t="e">
        <f t="shared" si="120"/>
        <v>#REF!</v>
      </c>
      <c r="Z47" s="333"/>
      <c r="AA47" s="43" t="s">
        <v>102</v>
      </c>
      <c r="AB47" s="51" t="e">
        <f>#REF!</f>
        <v>#REF!</v>
      </c>
      <c r="AC47" s="51" t="e">
        <f>AB47*$L47</f>
        <v>#REF!</v>
      </c>
      <c r="AD47" s="51" t="e">
        <f t="shared" si="124"/>
        <v>#REF!</v>
      </c>
      <c r="AE47" s="51" t="e">
        <f t="shared" si="124"/>
        <v>#REF!</v>
      </c>
      <c r="AF47" s="51" t="e">
        <f t="shared" si="124"/>
        <v>#REF!</v>
      </c>
      <c r="AH47" s="435" t="e">
        <f t="shared" si="18"/>
        <v>#REF!</v>
      </c>
      <c r="AI47" s="435" t="e">
        <f t="shared" si="18"/>
        <v>#REF!</v>
      </c>
      <c r="AJ47" s="435" t="e">
        <f t="shared" si="18"/>
        <v>#REF!</v>
      </c>
      <c r="AK47" s="435" t="e">
        <f t="shared" si="18"/>
        <v>#REF!</v>
      </c>
      <c r="AL47" s="435" t="e">
        <f t="shared" si="39"/>
        <v>#REF!</v>
      </c>
      <c r="AM47" s="444"/>
      <c r="AN47" s="405">
        <f t="shared" si="122"/>
        <v>7.108108108108107</v>
      </c>
      <c r="AO47" s="405">
        <f t="shared" si="122"/>
        <v>0</v>
      </c>
      <c r="AP47" s="405">
        <f t="shared" si="122"/>
        <v>0</v>
      </c>
      <c r="AQ47" s="405">
        <f t="shared" si="122"/>
        <v>0</v>
      </c>
      <c r="AR47" s="405">
        <f t="shared" si="122"/>
        <v>0</v>
      </c>
    </row>
    <row r="48" spans="1:50" s="96" customFormat="1" ht="15.75" customHeight="1" outlineLevel="1">
      <c r="A48" s="42">
        <v>3150</v>
      </c>
      <c r="B48" s="43" t="s">
        <v>103</v>
      </c>
      <c r="C48" s="44">
        <f>'PLAN 2018'!C38</f>
        <v>0</v>
      </c>
      <c r="D48" s="44">
        <f>'PLAN 2018'!D38</f>
        <v>0</v>
      </c>
      <c r="E48" s="44">
        <f>'PLAN 2018'!E38</f>
        <v>0</v>
      </c>
      <c r="F48" s="44">
        <f>'PLAN 2018'!S38</f>
        <v>61737.333333333321</v>
      </c>
      <c r="G48" s="44">
        <f>'PLAN 2018'!AG38</f>
        <v>209041.33333333334</v>
      </c>
      <c r="H48" s="44">
        <f>G48+investice!AH68</f>
        <v>209041.33333333334</v>
      </c>
      <c r="I48" s="44">
        <f>H48+investice!AI68</f>
        <v>209041.33333333334</v>
      </c>
      <c r="J48" s="44">
        <f>I48+investice!AJ68</f>
        <v>209041.33333333334</v>
      </c>
      <c r="K48" s="44">
        <f>J48+investice!AK68</f>
        <v>209041.33333333334</v>
      </c>
      <c r="L48" s="51"/>
      <c r="M48" s="43" t="s">
        <v>103</v>
      </c>
      <c r="N48" s="44">
        <f>'PLAN 2018'!AN38</f>
        <v>0</v>
      </c>
      <c r="O48" s="44">
        <f>N48*$L48</f>
        <v>0</v>
      </c>
      <c r="P48" s="44">
        <f t="shared" si="119"/>
        <v>0</v>
      </c>
      <c r="Q48" s="44">
        <f t="shared" si="119"/>
        <v>0</v>
      </c>
      <c r="R48" s="44">
        <f t="shared" si="119"/>
        <v>0</v>
      </c>
      <c r="S48" s="333"/>
      <c r="T48" s="43" t="s">
        <v>103</v>
      </c>
      <c r="U48" s="44" t="e">
        <f t="shared" si="123"/>
        <v>#REF!</v>
      </c>
      <c r="V48" s="44">
        <f>H48</f>
        <v>209041.33333333334</v>
      </c>
      <c r="W48" s="44">
        <f t="shared" ref="W48:Y48" si="125">I48</f>
        <v>209041.33333333334</v>
      </c>
      <c r="X48" s="44">
        <f t="shared" si="125"/>
        <v>209041.33333333334</v>
      </c>
      <c r="Y48" s="44">
        <f t="shared" si="125"/>
        <v>209041.33333333334</v>
      </c>
      <c r="Z48" s="333"/>
      <c r="AA48" s="43" t="s">
        <v>103</v>
      </c>
      <c r="AB48" s="44" t="e">
        <f>#REF!</f>
        <v>#REF!</v>
      </c>
      <c r="AC48" s="44" t="e">
        <f>AB48*$L48</f>
        <v>#REF!</v>
      </c>
      <c r="AD48" s="44" t="e">
        <f t="shared" si="124"/>
        <v>#REF!</v>
      </c>
      <c r="AE48" s="44" t="e">
        <f t="shared" si="124"/>
        <v>#REF!</v>
      </c>
      <c r="AF48" s="44" t="e">
        <f t="shared" si="124"/>
        <v>#REF!</v>
      </c>
      <c r="AH48" s="435" t="e">
        <f t="shared" si="18"/>
        <v>#REF!</v>
      </c>
      <c r="AI48" s="435" t="e">
        <f t="shared" si="18"/>
        <v>#REF!</v>
      </c>
      <c r="AJ48" s="435" t="e">
        <f t="shared" si="18"/>
        <v>#REF!</v>
      </c>
      <c r="AK48" s="435" t="e">
        <f t="shared" si="18"/>
        <v>#REF!</v>
      </c>
      <c r="AL48" s="435" t="e">
        <f t="shared" si="39"/>
        <v>#REF!</v>
      </c>
      <c r="AM48" s="444"/>
      <c r="AN48" s="424">
        <f t="shared" si="122"/>
        <v>2.3859793101958844</v>
      </c>
      <c r="AO48" s="405">
        <f t="shared" si="122"/>
        <v>0</v>
      </c>
      <c r="AP48" s="405">
        <f t="shared" si="122"/>
        <v>0</v>
      </c>
      <c r="AQ48" s="405">
        <f t="shared" si="122"/>
        <v>0</v>
      </c>
      <c r="AR48" s="405">
        <f t="shared" si="122"/>
        <v>0</v>
      </c>
      <c r="AS48" s="410" t="s">
        <v>432</v>
      </c>
      <c r="AT48" s="410"/>
      <c r="AU48" s="410"/>
      <c r="AV48" s="410"/>
      <c r="AW48" s="410"/>
      <c r="AX48" s="410"/>
    </row>
    <row r="49" spans="1:50" s="97" customFormat="1">
      <c r="A49" s="57">
        <v>9300</v>
      </c>
      <c r="B49" s="57" t="s">
        <v>14</v>
      </c>
      <c r="C49" s="41">
        <f>'PLAN 2018'!C39</f>
        <v>116016.70999999999</v>
      </c>
      <c r="D49" s="41">
        <f>'PLAN 2018'!D39</f>
        <v>116736.80166666667</v>
      </c>
      <c r="E49" s="41">
        <f>'PLAN 2018'!E39</f>
        <v>194620.90333333335</v>
      </c>
      <c r="F49" s="41">
        <f t="shared" ref="F49" si="126">SUM(F44:F48)</f>
        <v>270437.33333333331</v>
      </c>
      <c r="G49" s="41">
        <f t="shared" ref="G49" si="127">SUM(G44:G48)</f>
        <v>950300.83333333337</v>
      </c>
      <c r="H49" s="41">
        <f t="shared" ref="H49:K49" si="128">SUM(H44:H48)</f>
        <v>25300.833333333343</v>
      </c>
      <c r="I49" s="41">
        <f t="shared" si="128"/>
        <v>25300.833333333343</v>
      </c>
      <c r="J49" s="41">
        <f t="shared" si="128"/>
        <v>25300.833333333343</v>
      </c>
      <c r="K49" s="41">
        <f t="shared" si="128"/>
        <v>25300.833333333343</v>
      </c>
      <c r="L49" s="337"/>
      <c r="M49" s="57" t="s">
        <v>14</v>
      </c>
      <c r="N49" s="41">
        <f t="shared" ref="N49:R49" si="129">SUM(N44:N48)</f>
        <v>0</v>
      </c>
      <c r="O49" s="41">
        <f t="shared" si="129"/>
        <v>0</v>
      </c>
      <c r="P49" s="41">
        <f t="shared" si="129"/>
        <v>0</v>
      </c>
      <c r="Q49" s="41">
        <f t="shared" si="129"/>
        <v>0</v>
      </c>
      <c r="R49" s="41">
        <f t="shared" si="129"/>
        <v>0</v>
      </c>
      <c r="S49" s="337"/>
      <c r="T49" s="57" t="s">
        <v>14</v>
      </c>
      <c r="U49" s="41" t="e">
        <f t="shared" ref="U49:Y49" si="130">SUM(U44:U48)</f>
        <v>#REF!</v>
      </c>
      <c r="V49" s="41" t="e">
        <f t="shared" si="130"/>
        <v>#REF!</v>
      </c>
      <c r="W49" s="41" t="e">
        <f t="shared" si="130"/>
        <v>#REF!</v>
      </c>
      <c r="X49" s="41" t="e">
        <f t="shared" si="130"/>
        <v>#REF!</v>
      </c>
      <c r="Y49" s="41" t="e">
        <f t="shared" si="130"/>
        <v>#REF!</v>
      </c>
      <c r="Z49" s="337"/>
      <c r="AA49" s="57" t="s">
        <v>14</v>
      </c>
      <c r="AB49" s="41" t="e">
        <f t="shared" ref="AB49:AF49" si="131">SUM(AB44:AB48)</f>
        <v>#REF!</v>
      </c>
      <c r="AC49" s="41" t="e">
        <f t="shared" si="131"/>
        <v>#REF!</v>
      </c>
      <c r="AD49" s="41" t="e">
        <f t="shared" si="131"/>
        <v>#REF!</v>
      </c>
      <c r="AE49" s="41" t="e">
        <f t="shared" si="131"/>
        <v>#REF!</v>
      </c>
      <c r="AF49" s="41" t="e">
        <f t="shared" si="131"/>
        <v>#REF!</v>
      </c>
      <c r="AH49" s="440" t="e">
        <f t="shared" si="18"/>
        <v>#REF!</v>
      </c>
      <c r="AI49" s="440" t="e">
        <f t="shared" si="18"/>
        <v>#REF!</v>
      </c>
      <c r="AJ49" s="440" t="e">
        <f t="shared" si="18"/>
        <v>#REF!</v>
      </c>
      <c r="AK49" s="440" t="e">
        <f t="shared" si="18"/>
        <v>#REF!</v>
      </c>
      <c r="AL49" s="440" t="e">
        <f t="shared" si="39"/>
        <v>#REF!</v>
      </c>
      <c r="AM49" s="444"/>
      <c r="AN49" s="423">
        <f t="shared" si="122"/>
        <v>2.5139409992703179</v>
      </c>
      <c r="AO49" s="423">
        <f t="shared" si="122"/>
        <v>-0.97337597480096216</v>
      </c>
      <c r="AP49" s="423">
        <f t="shared" si="122"/>
        <v>0</v>
      </c>
      <c r="AQ49" s="423">
        <f t="shared" si="122"/>
        <v>0</v>
      </c>
      <c r="AR49" s="423">
        <f t="shared" si="122"/>
        <v>0</v>
      </c>
    </row>
    <row r="50" spans="1:50" s="410" customFormat="1" ht="15.75" customHeight="1" outlineLevel="1">
      <c r="A50" s="406"/>
      <c r="B50" s="407" t="s">
        <v>441</v>
      </c>
      <c r="C50" s="408">
        <f>C49/C13</f>
        <v>6.2950350468878227E-3</v>
      </c>
      <c r="D50" s="408">
        <f t="shared" ref="D50:L50" si="132">D49/D13</f>
        <v>5.7281376907657887E-3</v>
      </c>
      <c r="E50" s="408">
        <f t="shared" si="132"/>
        <v>8.7260251664874888E-3</v>
      </c>
      <c r="F50" s="408">
        <f t="shared" si="132"/>
        <v>1.1083773779805902E-2</v>
      </c>
      <c r="G50" s="408">
        <f t="shared" si="132"/>
        <v>3.7553980107624799E-2</v>
      </c>
      <c r="H50" s="408">
        <f t="shared" si="132"/>
        <v>9.9983811270956918E-4</v>
      </c>
      <c r="I50" s="408">
        <f t="shared" si="132"/>
        <v>9.9983811270956918E-4</v>
      </c>
      <c r="J50" s="408">
        <f t="shared" si="132"/>
        <v>9.9983811270956918E-4</v>
      </c>
      <c r="K50" s="408">
        <f t="shared" si="132"/>
        <v>9.9983811270956918E-4</v>
      </c>
      <c r="L50" s="408">
        <f t="shared" si="132"/>
        <v>0</v>
      </c>
      <c r="M50" s="407"/>
      <c r="N50" s="408" t="str">
        <f>IFERROR(N49/N13,"")</f>
        <v/>
      </c>
      <c r="O50" s="408" t="str">
        <f t="shared" ref="O50:R50" si="133">IFERROR(O49/O13,"")</f>
        <v/>
      </c>
      <c r="P50" s="408" t="str">
        <f t="shared" si="133"/>
        <v/>
      </c>
      <c r="Q50" s="408" t="str">
        <f t="shared" si="133"/>
        <v/>
      </c>
      <c r="R50" s="408" t="str">
        <f t="shared" si="133"/>
        <v/>
      </c>
      <c r="S50" s="409"/>
      <c r="T50" s="407"/>
      <c r="U50" s="408" t="str">
        <f t="shared" ref="U50" si="134">IFERROR(U49/U13,"")</f>
        <v/>
      </c>
      <c r="V50" s="408" t="str">
        <f t="shared" ref="V50" si="135">IFERROR(V49/V13,"")</f>
        <v/>
      </c>
      <c r="W50" s="408" t="str">
        <f t="shared" ref="W50" si="136">IFERROR(W49/W13,"")</f>
        <v/>
      </c>
      <c r="X50" s="408" t="str">
        <f t="shared" ref="X50" si="137">IFERROR(X49/X13,"")</f>
        <v/>
      </c>
      <c r="Y50" s="408" t="str">
        <f t="shared" ref="Y50" si="138">IFERROR(Y49/Y13,"")</f>
        <v/>
      </c>
      <c r="Z50" s="409"/>
      <c r="AA50" s="407"/>
      <c r="AB50" s="408" t="str">
        <f t="shared" ref="AB50" si="139">IFERROR(AB49/AB13,"")</f>
        <v/>
      </c>
      <c r="AC50" s="408" t="str">
        <f t="shared" ref="AC50" si="140">IFERROR(AC49/AC13,"")</f>
        <v/>
      </c>
      <c r="AD50" s="408" t="str">
        <f t="shared" ref="AD50" si="141">IFERROR(AD49/AD13,"")</f>
        <v/>
      </c>
      <c r="AE50" s="408" t="str">
        <f t="shared" ref="AE50" si="142">IFERROR(AE49/AE13,"")</f>
        <v/>
      </c>
      <c r="AF50" s="408" t="str">
        <f t="shared" ref="AF50" si="143">IFERROR(AF49/AF13,"")</f>
        <v/>
      </c>
      <c r="AH50" s="441"/>
      <c r="AI50" s="441"/>
      <c r="AJ50" s="441"/>
      <c r="AK50" s="441"/>
      <c r="AL50" s="441"/>
      <c r="AM50" s="444"/>
      <c r="AN50" s="410" t="s">
        <v>442</v>
      </c>
    </row>
    <row r="51" spans="1:50" s="96" customFormat="1" ht="31.5" customHeight="1" outlineLevel="1">
      <c r="A51" s="42">
        <v>4510</v>
      </c>
      <c r="B51" s="43" t="s">
        <v>104</v>
      </c>
      <c r="C51" s="51">
        <f>'PLAN 2018'!C40</f>
        <v>24210.855</v>
      </c>
      <c r="D51" s="51">
        <f>'PLAN 2018'!D40</f>
        <v>13872.681666666665</v>
      </c>
      <c r="E51" s="51">
        <f>'PLAN 2018'!E40</f>
        <v>24014.410000000003</v>
      </c>
      <c r="F51" s="51">
        <f>'PLAN 2018'!S40</f>
        <v>62876.96166666667</v>
      </c>
      <c r="G51" s="51">
        <f>'PLAN 2018'!AG40</f>
        <v>62876.961666666677</v>
      </c>
      <c r="H51" s="51">
        <f t="shared" ref="H51:K57" si="144">G51*$L51</f>
        <v>62876.961666666677</v>
      </c>
      <c r="I51" s="51">
        <f t="shared" si="144"/>
        <v>62876.961666666677</v>
      </c>
      <c r="J51" s="51">
        <f t="shared" si="144"/>
        <v>62876.961666666677</v>
      </c>
      <c r="K51" s="51">
        <f t="shared" si="144"/>
        <v>62876.961666666677</v>
      </c>
      <c r="L51" s="333">
        <v>1</v>
      </c>
      <c r="M51" s="43" t="s">
        <v>104</v>
      </c>
      <c r="N51" s="51">
        <f>G51</f>
        <v>62876.961666666677</v>
      </c>
      <c r="O51" s="51">
        <f t="shared" ref="O51:R57" si="145">N51*$L51</f>
        <v>62876.961666666677</v>
      </c>
      <c r="P51" s="51">
        <f t="shared" si="145"/>
        <v>62876.961666666677</v>
      </c>
      <c r="Q51" s="51">
        <f t="shared" si="145"/>
        <v>62876.961666666677</v>
      </c>
      <c r="R51" s="51">
        <f t="shared" si="145"/>
        <v>62876.961666666677</v>
      </c>
      <c r="S51" s="333"/>
      <c r="T51" s="43" t="s">
        <v>104</v>
      </c>
      <c r="U51" s="51">
        <f>'PLAN 2018'!AU40</f>
        <v>0</v>
      </c>
      <c r="V51" s="51">
        <f t="shared" ref="V51:Y58" si="146">U51*$L51</f>
        <v>0</v>
      </c>
      <c r="W51" s="51">
        <f t="shared" si="146"/>
        <v>0</v>
      </c>
      <c r="X51" s="51">
        <f t="shared" si="146"/>
        <v>0</v>
      </c>
      <c r="Y51" s="51">
        <f t="shared" si="146"/>
        <v>0</v>
      </c>
      <c r="Z51" s="333"/>
      <c r="AA51" s="43" t="s">
        <v>104</v>
      </c>
      <c r="AB51" s="51">
        <f>'PLAN 2018'!BB40</f>
        <v>0</v>
      </c>
      <c r="AC51" s="51">
        <f t="shared" ref="AC51:AF58" si="147">AB51*$L51</f>
        <v>0</v>
      </c>
      <c r="AD51" s="51">
        <f t="shared" si="147"/>
        <v>0</v>
      </c>
      <c r="AE51" s="51">
        <f t="shared" si="147"/>
        <v>0</v>
      </c>
      <c r="AF51" s="51">
        <f t="shared" si="147"/>
        <v>0</v>
      </c>
      <c r="AH51" s="435">
        <f t="shared" si="18"/>
        <v>0</v>
      </c>
      <c r="AI51" s="435">
        <f t="shared" si="18"/>
        <v>0</v>
      </c>
      <c r="AJ51" s="435">
        <f t="shared" si="18"/>
        <v>0</v>
      </c>
      <c r="AK51" s="435">
        <f t="shared" si="18"/>
        <v>0</v>
      </c>
      <c r="AL51" s="435">
        <f t="shared" si="39"/>
        <v>0</v>
      </c>
      <c r="AM51" s="444"/>
      <c r="AN51" s="405">
        <f t="shared" ref="AN51:AN59" si="148">(G51-F51)/F51</f>
        <v>1.1571738553074316E-16</v>
      </c>
      <c r="AO51" s="405">
        <f t="shared" ref="AO51:AO59" si="149">(H51-G51)/G51</f>
        <v>0</v>
      </c>
      <c r="AP51" s="405">
        <f t="shared" ref="AP51:AP59" si="150">(I51-H51)/H51</f>
        <v>0</v>
      </c>
      <c r="AQ51" s="405">
        <f t="shared" ref="AQ51:AQ59" si="151">(J51-I51)/I51</f>
        <v>0</v>
      </c>
      <c r="AR51" s="405">
        <f t="shared" ref="AR51:AR59" si="152">(K51-J51)/J51</f>
        <v>0</v>
      </c>
    </row>
    <row r="52" spans="1:50" s="96" customFormat="1" outlineLevel="1">
      <c r="A52" s="42">
        <v>4512</v>
      </c>
      <c r="B52" s="43" t="s">
        <v>105</v>
      </c>
      <c r="C52" s="51">
        <f>'PLAN 2018'!C41</f>
        <v>14525.168333333333</v>
      </c>
      <c r="D52" s="51">
        <f>'PLAN 2018'!D41</f>
        <v>8794.84</v>
      </c>
      <c r="E52" s="51">
        <f>'PLAN 2018'!E41</f>
        <v>5797.8016666666672</v>
      </c>
      <c r="F52" s="51">
        <f>'PLAN 2018'!S41</f>
        <v>14098.253333333332</v>
      </c>
      <c r="G52" s="51">
        <f>'PLAN 2018'!AG41</f>
        <v>14098.253333333336</v>
      </c>
      <c r="H52" s="51">
        <f t="shared" si="144"/>
        <v>14098.253333333336</v>
      </c>
      <c r="I52" s="51">
        <f t="shared" si="144"/>
        <v>14098.253333333336</v>
      </c>
      <c r="J52" s="51">
        <f t="shared" si="144"/>
        <v>14098.253333333336</v>
      </c>
      <c r="K52" s="51">
        <f t="shared" si="144"/>
        <v>14098.253333333336</v>
      </c>
      <c r="L52" s="333">
        <v>1</v>
      </c>
      <c r="M52" s="43" t="s">
        <v>105</v>
      </c>
      <c r="N52" s="51">
        <f t="shared" ref="N52:N58" si="153">G52</f>
        <v>14098.253333333336</v>
      </c>
      <c r="O52" s="51">
        <f t="shared" si="145"/>
        <v>14098.253333333336</v>
      </c>
      <c r="P52" s="51">
        <f t="shared" si="145"/>
        <v>14098.253333333336</v>
      </c>
      <c r="Q52" s="51">
        <f t="shared" si="145"/>
        <v>14098.253333333336</v>
      </c>
      <c r="R52" s="51">
        <f t="shared" si="145"/>
        <v>14098.253333333336</v>
      </c>
      <c r="S52" s="333"/>
      <c r="T52" s="43" t="s">
        <v>105</v>
      </c>
      <c r="U52" s="51">
        <f>'PLAN 2018'!AU41</f>
        <v>0</v>
      </c>
      <c r="V52" s="51">
        <f t="shared" si="146"/>
        <v>0</v>
      </c>
      <c r="W52" s="51">
        <f t="shared" si="146"/>
        <v>0</v>
      </c>
      <c r="X52" s="51">
        <f t="shared" si="146"/>
        <v>0</v>
      </c>
      <c r="Y52" s="51">
        <f t="shared" si="146"/>
        <v>0</v>
      </c>
      <c r="Z52" s="333"/>
      <c r="AA52" s="43" t="s">
        <v>105</v>
      </c>
      <c r="AB52" s="51">
        <f>'PLAN 2018'!BB41</f>
        <v>0</v>
      </c>
      <c r="AC52" s="51">
        <f t="shared" si="147"/>
        <v>0</v>
      </c>
      <c r="AD52" s="51">
        <f t="shared" si="147"/>
        <v>0</v>
      </c>
      <c r="AE52" s="51">
        <f t="shared" si="147"/>
        <v>0</v>
      </c>
      <c r="AF52" s="51">
        <f t="shared" si="147"/>
        <v>0</v>
      </c>
      <c r="AH52" s="435">
        <f t="shared" si="18"/>
        <v>0</v>
      </c>
      <c r="AI52" s="435">
        <f t="shared" si="18"/>
        <v>0</v>
      </c>
      <c r="AJ52" s="435">
        <f t="shared" si="18"/>
        <v>0</v>
      </c>
      <c r="AK52" s="435">
        <f t="shared" si="18"/>
        <v>0</v>
      </c>
      <c r="AL52" s="435">
        <f t="shared" si="39"/>
        <v>0</v>
      </c>
      <c r="AM52" s="444"/>
      <c r="AN52" s="405">
        <f t="shared" si="148"/>
        <v>2.5804464716847051E-16</v>
      </c>
      <c r="AO52" s="405">
        <f t="shared" si="149"/>
        <v>0</v>
      </c>
      <c r="AP52" s="405">
        <f t="shared" si="150"/>
        <v>0</v>
      </c>
      <c r="AQ52" s="405">
        <f t="shared" si="151"/>
        <v>0</v>
      </c>
      <c r="AR52" s="405">
        <f t="shared" si="152"/>
        <v>0</v>
      </c>
    </row>
    <row r="53" spans="1:50" s="96" customFormat="1" outlineLevel="1">
      <c r="A53" s="42">
        <v>4520</v>
      </c>
      <c r="B53" s="43" t="s">
        <v>106</v>
      </c>
      <c r="C53" s="51">
        <f>'PLAN 2018'!C42</f>
        <v>33062.333333333336</v>
      </c>
      <c r="D53" s="51">
        <f>'PLAN 2018'!D42</f>
        <v>67307.673333333325</v>
      </c>
      <c r="E53" s="51">
        <f>'PLAN 2018'!E42</f>
        <v>21698.723333333335</v>
      </c>
      <c r="F53" s="51">
        <f>'PLAN 2018'!S42</f>
        <v>40202.144999999997</v>
      </c>
      <c r="G53" s="51">
        <f>'PLAN 2018'!AG42</f>
        <v>60303.217500000006</v>
      </c>
      <c r="H53" s="51">
        <f t="shared" si="144"/>
        <v>60303.217500000006</v>
      </c>
      <c r="I53" s="51">
        <f t="shared" si="144"/>
        <v>60303.217500000006</v>
      </c>
      <c r="J53" s="51">
        <f t="shared" si="144"/>
        <v>60303.217500000006</v>
      </c>
      <c r="K53" s="51">
        <f t="shared" si="144"/>
        <v>60303.217500000006</v>
      </c>
      <c r="L53" s="333">
        <v>1</v>
      </c>
      <c r="M53" s="43" t="s">
        <v>106</v>
      </c>
      <c r="N53" s="51">
        <f t="shared" si="153"/>
        <v>60303.217500000006</v>
      </c>
      <c r="O53" s="51">
        <f t="shared" si="145"/>
        <v>60303.217500000006</v>
      </c>
      <c r="P53" s="51">
        <f t="shared" si="145"/>
        <v>60303.217500000006</v>
      </c>
      <c r="Q53" s="51">
        <f t="shared" si="145"/>
        <v>60303.217500000006</v>
      </c>
      <c r="R53" s="51">
        <f t="shared" si="145"/>
        <v>60303.217500000006</v>
      </c>
      <c r="S53" s="333"/>
      <c r="T53" s="43" t="s">
        <v>106</v>
      </c>
      <c r="U53" s="51">
        <f>'PLAN 2018'!AU42</f>
        <v>0</v>
      </c>
      <c r="V53" s="51">
        <f t="shared" si="146"/>
        <v>0</v>
      </c>
      <c r="W53" s="51">
        <f t="shared" si="146"/>
        <v>0</v>
      </c>
      <c r="X53" s="51">
        <f t="shared" si="146"/>
        <v>0</v>
      </c>
      <c r="Y53" s="51">
        <f t="shared" si="146"/>
        <v>0</v>
      </c>
      <c r="Z53" s="333"/>
      <c r="AA53" s="43" t="s">
        <v>106</v>
      </c>
      <c r="AB53" s="51">
        <f>'PLAN 2018'!BB42</f>
        <v>0</v>
      </c>
      <c r="AC53" s="51">
        <f t="shared" si="147"/>
        <v>0</v>
      </c>
      <c r="AD53" s="51">
        <f t="shared" si="147"/>
        <v>0</v>
      </c>
      <c r="AE53" s="51">
        <f t="shared" si="147"/>
        <v>0</v>
      </c>
      <c r="AF53" s="51">
        <f t="shared" si="147"/>
        <v>0</v>
      </c>
      <c r="AH53" s="435">
        <f t="shared" si="18"/>
        <v>0</v>
      </c>
      <c r="AI53" s="435">
        <f t="shared" si="18"/>
        <v>0</v>
      </c>
      <c r="AJ53" s="435">
        <f t="shared" si="18"/>
        <v>0</v>
      </c>
      <c r="AK53" s="435">
        <f t="shared" si="18"/>
        <v>0</v>
      </c>
      <c r="AL53" s="435">
        <f t="shared" si="39"/>
        <v>0</v>
      </c>
      <c r="AM53" s="444"/>
      <c r="AN53" s="405">
        <f t="shared" si="148"/>
        <v>0.50000000000000022</v>
      </c>
      <c r="AO53" s="405">
        <f t="shared" si="149"/>
        <v>0</v>
      </c>
      <c r="AP53" s="405">
        <f t="shared" si="150"/>
        <v>0</v>
      </c>
      <c r="AQ53" s="405">
        <f t="shared" si="151"/>
        <v>0</v>
      </c>
      <c r="AR53" s="405">
        <f t="shared" si="152"/>
        <v>0</v>
      </c>
    </row>
    <row r="54" spans="1:50" s="96" customFormat="1" outlineLevel="1">
      <c r="A54" s="42">
        <v>4530</v>
      </c>
      <c r="B54" s="43" t="s">
        <v>107</v>
      </c>
      <c r="C54" s="51">
        <f>'PLAN 2018'!C43</f>
        <v>16467.5</v>
      </c>
      <c r="D54" s="51">
        <f>'PLAN 2018'!D43</f>
        <v>9480.1666666666661</v>
      </c>
      <c r="E54" s="51">
        <f>'PLAN 2018'!E43</f>
        <v>10675.666666666666</v>
      </c>
      <c r="F54" s="51">
        <f>'PLAN 2018'!S43</f>
        <v>8161.6666666666652</v>
      </c>
      <c r="G54" s="51">
        <f>'PLAN 2018'!AG43</f>
        <v>8161.6666666666652</v>
      </c>
      <c r="H54" s="51">
        <f t="shared" si="144"/>
        <v>8161.6666666666652</v>
      </c>
      <c r="I54" s="51">
        <f t="shared" si="144"/>
        <v>8161.6666666666652</v>
      </c>
      <c r="J54" s="51">
        <f t="shared" si="144"/>
        <v>8161.6666666666652</v>
      </c>
      <c r="K54" s="51">
        <f t="shared" si="144"/>
        <v>8161.6666666666652</v>
      </c>
      <c r="L54" s="333">
        <v>1</v>
      </c>
      <c r="M54" s="43" t="s">
        <v>107</v>
      </c>
      <c r="N54" s="51">
        <f t="shared" si="153"/>
        <v>8161.6666666666652</v>
      </c>
      <c r="O54" s="51">
        <f t="shared" si="145"/>
        <v>8161.6666666666652</v>
      </c>
      <c r="P54" s="51">
        <f t="shared" si="145"/>
        <v>8161.6666666666652</v>
      </c>
      <c r="Q54" s="51">
        <f t="shared" si="145"/>
        <v>8161.6666666666652</v>
      </c>
      <c r="R54" s="51">
        <f t="shared" si="145"/>
        <v>8161.6666666666652</v>
      </c>
      <c r="S54" s="333"/>
      <c r="T54" s="43" t="s">
        <v>107</v>
      </c>
      <c r="U54" s="51">
        <f>'PLAN 2018'!AU43</f>
        <v>0</v>
      </c>
      <c r="V54" s="51">
        <f t="shared" si="146"/>
        <v>0</v>
      </c>
      <c r="W54" s="51">
        <f t="shared" si="146"/>
        <v>0</v>
      </c>
      <c r="X54" s="51">
        <f t="shared" si="146"/>
        <v>0</v>
      </c>
      <c r="Y54" s="51">
        <f t="shared" si="146"/>
        <v>0</v>
      </c>
      <c r="Z54" s="333"/>
      <c r="AA54" s="43" t="s">
        <v>107</v>
      </c>
      <c r="AB54" s="51">
        <f>'PLAN 2018'!BB43</f>
        <v>0</v>
      </c>
      <c r="AC54" s="51">
        <f t="shared" si="147"/>
        <v>0</v>
      </c>
      <c r="AD54" s="51">
        <f t="shared" si="147"/>
        <v>0</v>
      </c>
      <c r="AE54" s="51">
        <f t="shared" si="147"/>
        <v>0</v>
      </c>
      <c r="AF54" s="51">
        <f t="shared" si="147"/>
        <v>0</v>
      </c>
      <c r="AH54" s="435">
        <f t="shared" si="18"/>
        <v>0</v>
      </c>
      <c r="AI54" s="435">
        <f t="shared" si="18"/>
        <v>0</v>
      </c>
      <c r="AJ54" s="435">
        <f t="shared" si="18"/>
        <v>0</v>
      </c>
      <c r="AK54" s="435">
        <f t="shared" si="18"/>
        <v>0</v>
      </c>
      <c r="AL54" s="435">
        <f t="shared" si="39"/>
        <v>0</v>
      </c>
      <c r="AM54" s="444"/>
      <c r="AN54" s="405">
        <f t="shared" si="148"/>
        <v>0</v>
      </c>
      <c r="AO54" s="405">
        <f t="shared" si="149"/>
        <v>0</v>
      </c>
      <c r="AP54" s="405">
        <f t="shared" si="150"/>
        <v>0</v>
      </c>
      <c r="AQ54" s="405">
        <f t="shared" si="151"/>
        <v>0</v>
      </c>
      <c r="AR54" s="405">
        <f t="shared" si="152"/>
        <v>0</v>
      </c>
    </row>
    <row r="55" spans="1:50" s="96" customFormat="1" outlineLevel="1">
      <c r="A55" s="42">
        <v>4540</v>
      </c>
      <c r="B55" s="43" t="s">
        <v>108</v>
      </c>
      <c r="C55" s="51">
        <f>'PLAN 2018'!C44</f>
        <v>19600.833333333332</v>
      </c>
      <c r="D55" s="51">
        <f>'PLAN 2018'!D44</f>
        <v>19601.333333333332</v>
      </c>
      <c r="E55" s="51">
        <f>'PLAN 2018'!E44</f>
        <v>19752</v>
      </c>
      <c r="F55" s="51">
        <f>'PLAN 2018'!S44</f>
        <v>3292</v>
      </c>
      <c r="G55" s="51">
        <f>'PLAN 2018'!AG44</f>
        <v>3292.0000000000005</v>
      </c>
      <c r="H55" s="51">
        <f t="shared" si="144"/>
        <v>3292.0000000000005</v>
      </c>
      <c r="I55" s="51">
        <f t="shared" si="144"/>
        <v>3292.0000000000005</v>
      </c>
      <c r="J55" s="51">
        <f t="shared" si="144"/>
        <v>3292.0000000000005</v>
      </c>
      <c r="K55" s="51">
        <f t="shared" si="144"/>
        <v>3292.0000000000005</v>
      </c>
      <c r="L55" s="333">
        <v>1</v>
      </c>
      <c r="M55" s="43" t="s">
        <v>108</v>
      </c>
      <c r="N55" s="51">
        <f t="shared" si="153"/>
        <v>3292.0000000000005</v>
      </c>
      <c r="O55" s="51">
        <f t="shared" si="145"/>
        <v>3292.0000000000005</v>
      </c>
      <c r="P55" s="51">
        <f t="shared" si="145"/>
        <v>3292.0000000000005</v>
      </c>
      <c r="Q55" s="51">
        <f t="shared" si="145"/>
        <v>3292.0000000000005</v>
      </c>
      <c r="R55" s="51">
        <f t="shared" si="145"/>
        <v>3292.0000000000005</v>
      </c>
      <c r="S55" s="333"/>
      <c r="T55" s="43" t="s">
        <v>108</v>
      </c>
      <c r="U55" s="51">
        <f>'PLAN 2018'!AU44</f>
        <v>0</v>
      </c>
      <c r="V55" s="51">
        <f t="shared" si="146"/>
        <v>0</v>
      </c>
      <c r="W55" s="51">
        <f t="shared" si="146"/>
        <v>0</v>
      </c>
      <c r="X55" s="51">
        <f t="shared" si="146"/>
        <v>0</v>
      </c>
      <c r="Y55" s="51">
        <f t="shared" si="146"/>
        <v>0</v>
      </c>
      <c r="Z55" s="333"/>
      <c r="AA55" s="43" t="s">
        <v>108</v>
      </c>
      <c r="AB55" s="51">
        <f>'PLAN 2018'!BB44</f>
        <v>0</v>
      </c>
      <c r="AC55" s="51">
        <f t="shared" si="147"/>
        <v>0</v>
      </c>
      <c r="AD55" s="51">
        <f t="shared" si="147"/>
        <v>0</v>
      </c>
      <c r="AE55" s="51">
        <f t="shared" si="147"/>
        <v>0</v>
      </c>
      <c r="AF55" s="51">
        <f t="shared" si="147"/>
        <v>0</v>
      </c>
      <c r="AH55" s="435">
        <f t="shared" si="18"/>
        <v>0</v>
      </c>
      <c r="AI55" s="435">
        <f t="shared" si="18"/>
        <v>0</v>
      </c>
      <c r="AJ55" s="435">
        <f t="shared" si="18"/>
        <v>0</v>
      </c>
      <c r="AK55" s="435">
        <f t="shared" si="18"/>
        <v>0</v>
      </c>
      <c r="AL55" s="435">
        <f t="shared" si="39"/>
        <v>0</v>
      </c>
      <c r="AM55" s="444"/>
      <c r="AN55" s="405">
        <f t="shared" si="148"/>
        <v>1.3813710537255895E-16</v>
      </c>
      <c r="AO55" s="405">
        <f t="shared" si="149"/>
        <v>0</v>
      </c>
      <c r="AP55" s="405">
        <f t="shared" si="150"/>
        <v>0</v>
      </c>
      <c r="AQ55" s="405">
        <f t="shared" si="151"/>
        <v>0</v>
      </c>
      <c r="AR55" s="405">
        <f t="shared" si="152"/>
        <v>0</v>
      </c>
    </row>
    <row r="56" spans="1:50" s="96" customFormat="1" outlineLevel="1">
      <c r="A56" s="42">
        <v>4550</v>
      </c>
      <c r="B56" s="43" t="s">
        <v>109</v>
      </c>
      <c r="C56" s="51">
        <f>'PLAN 2018'!C45</f>
        <v>7966.2416666666677</v>
      </c>
      <c r="D56" s="51">
        <f>'PLAN 2018'!D45</f>
        <v>20346.086666666666</v>
      </c>
      <c r="E56" s="51">
        <f>'PLAN 2018'!E45</f>
        <v>50861.856666666659</v>
      </c>
      <c r="F56" s="51">
        <f>'PLAN 2018'!S45</f>
        <v>29025.224999999999</v>
      </c>
      <c r="G56" s="51">
        <f>'PLAN 2018'!AG45</f>
        <v>34830.269999999997</v>
      </c>
      <c r="H56" s="51">
        <f t="shared" si="144"/>
        <v>34830.269999999997</v>
      </c>
      <c r="I56" s="51">
        <f t="shared" si="144"/>
        <v>34830.269999999997</v>
      </c>
      <c r="J56" s="51">
        <f t="shared" si="144"/>
        <v>34830.269999999997</v>
      </c>
      <c r="K56" s="51">
        <f t="shared" si="144"/>
        <v>34830.269999999997</v>
      </c>
      <c r="L56" s="333">
        <v>1</v>
      </c>
      <c r="M56" s="43" t="s">
        <v>109</v>
      </c>
      <c r="N56" s="51">
        <f t="shared" si="153"/>
        <v>34830.269999999997</v>
      </c>
      <c r="O56" s="51">
        <f t="shared" si="145"/>
        <v>34830.269999999997</v>
      </c>
      <c r="P56" s="51">
        <f t="shared" si="145"/>
        <v>34830.269999999997</v>
      </c>
      <c r="Q56" s="51">
        <f t="shared" si="145"/>
        <v>34830.269999999997</v>
      </c>
      <c r="R56" s="51">
        <f t="shared" si="145"/>
        <v>34830.269999999997</v>
      </c>
      <c r="S56" s="333"/>
      <c r="T56" s="43" t="s">
        <v>109</v>
      </c>
      <c r="U56" s="51">
        <f>'PLAN 2018'!AU45</f>
        <v>0</v>
      </c>
      <c r="V56" s="51">
        <f t="shared" si="146"/>
        <v>0</v>
      </c>
      <c r="W56" s="51">
        <f t="shared" si="146"/>
        <v>0</v>
      </c>
      <c r="X56" s="51">
        <f t="shared" si="146"/>
        <v>0</v>
      </c>
      <c r="Y56" s="51">
        <f t="shared" si="146"/>
        <v>0</v>
      </c>
      <c r="Z56" s="333"/>
      <c r="AA56" s="43" t="s">
        <v>109</v>
      </c>
      <c r="AB56" s="51">
        <f>'PLAN 2018'!BB45</f>
        <v>0</v>
      </c>
      <c r="AC56" s="51">
        <f t="shared" si="147"/>
        <v>0</v>
      </c>
      <c r="AD56" s="51">
        <f t="shared" si="147"/>
        <v>0</v>
      </c>
      <c r="AE56" s="51">
        <f t="shared" si="147"/>
        <v>0</v>
      </c>
      <c r="AF56" s="51">
        <f t="shared" si="147"/>
        <v>0</v>
      </c>
      <c r="AH56" s="435">
        <f t="shared" si="18"/>
        <v>0</v>
      </c>
      <c r="AI56" s="435">
        <f t="shared" si="18"/>
        <v>0</v>
      </c>
      <c r="AJ56" s="435">
        <f t="shared" si="18"/>
        <v>0</v>
      </c>
      <c r="AK56" s="435">
        <f t="shared" si="18"/>
        <v>0</v>
      </c>
      <c r="AL56" s="435">
        <f t="shared" si="39"/>
        <v>0</v>
      </c>
      <c r="AM56" s="444"/>
      <c r="AN56" s="405">
        <f t="shared" si="148"/>
        <v>0.19999999999999996</v>
      </c>
      <c r="AO56" s="405">
        <f t="shared" si="149"/>
        <v>0</v>
      </c>
      <c r="AP56" s="405">
        <f t="shared" si="150"/>
        <v>0</v>
      </c>
      <c r="AQ56" s="405">
        <f t="shared" si="151"/>
        <v>0</v>
      </c>
      <c r="AR56" s="405">
        <f t="shared" si="152"/>
        <v>0</v>
      </c>
    </row>
    <row r="57" spans="1:50" s="96" customFormat="1" outlineLevel="1">
      <c r="A57" s="42">
        <v>4560</v>
      </c>
      <c r="B57" s="43" t="s">
        <v>110</v>
      </c>
      <c r="C57" s="51">
        <f>'PLAN 2018'!C46</f>
        <v>63253.166666666664</v>
      </c>
      <c r="D57" s="51">
        <f>'PLAN 2018'!D46</f>
        <v>58781.811666666668</v>
      </c>
      <c r="E57" s="51">
        <f>'PLAN 2018'!E46</f>
        <v>64607.21333333334</v>
      </c>
      <c r="F57" s="51">
        <f>'PLAN 2018'!S46</f>
        <v>8616.248333333333</v>
      </c>
      <c r="G57" s="51">
        <f>'PLAN 2018'!AG46</f>
        <v>8616.248333333333</v>
      </c>
      <c r="H57" s="51">
        <f t="shared" si="144"/>
        <v>8616.248333333333</v>
      </c>
      <c r="I57" s="51">
        <f t="shared" si="144"/>
        <v>8616.248333333333</v>
      </c>
      <c r="J57" s="51">
        <f t="shared" si="144"/>
        <v>8616.248333333333</v>
      </c>
      <c r="K57" s="51">
        <f t="shared" si="144"/>
        <v>8616.248333333333</v>
      </c>
      <c r="L57" s="333">
        <v>1</v>
      </c>
      <c r="M57" s="43" t="s">
        <v>110</v>
      </c>
      <c r="N57" s="51">
        <f t="shared" si="153"/>
        <v>8616.248333333333</v>
      </c>
      <c r="O57" s="51">
        <f t="shared" si="145"/>
        <v>8616.248333333333</v>
      </c>
      <c r="P57" s="51">
        <f t="shared" si="145"/>
        <v>8616.248333333333</v>
      </c>
      <c r="Q57" s="51">
        <f t="shared" si="145"/>
        <v>8616.248333333333</v>
      </c>
      <c r="R57" s="51">
        <f t="shared" si="145"/>
        <v>8616.248333333333</v>
      </c>
      <c r="S57" s="333"/>
      <c r="T57" s="43" t="s">
        <v>110</v>
      </c>
      <c r="U57" s="51">
        <f>'PLAN 2018'!AU46</f>
        <v>0</v>
      </c>
      <c r="V57" s="51">
        <f t="shared" si="146"/>
        <v>0</v>
      </c>
      <c r="W57" s="51">
        <f t="shared" si="146"/>
        <v>0</v>
      </c>
      <c r="X57" s="51">
        <f t="shared" si="146"/>
        <v>0</v>
      </c>
      <c r="Y57" s="51">
        <f t="shared" si="146"/>
        <v>0</v>
      </c>
      <c r="Z57" s="333"/>
      <c r="AA57" s="43" t="s">
        <v>110</v>
      </c>
      <c r="AB57" s="51">
        <f>'PLAN 2018'!BB46</f>
        <v>0</v>
      </c>
      <c r="AC57" s="51">
        <f t="shared" si="147"/>
        <v>0</v>
      </c>
      <c r="AD57" s="51">
        <f t="shared" si="147"/>
        <v>0</v>
      </c>
      <c r="AE57" s="51">
        <f t="shared" si="147"/>
        <v>0</v>
      </c>
      <c r="AF57" s="51">
        <f t="shared" si="147"/>
        <v>0</v>
      </c>
      <c r="AH57" s="435">
        <f t="shared" si="18"/>
        <v>0</v>
      </c>
      <c r="AI57" s="435">
        <f t="shared" si="18"/>
        <v>0</v>
      </c>
      <c r="AJ57" s="435">
        <f t="shared" si="18"/>
        <v>0</v>
      </c>
      <c r="AK57" s="435">
        <f t="shared" si="18"/>
        <v>0</v>
      </c>
      <c r="AL57" s="435">
        <f t="shared" si="39"/>
        <v>0</v>
      </c>
      <c r="AM57" s="444"/>
      <c r="AN57" s="405">
        <f t="shared" si="148"/>
        <v>0</v>
      </c>
      <c r="AO57" s="405">
        <f t="shared" si="149"/>
        <v>0</v>
      </c>
      <c r="AP57" s="405">
        <f t="shared" si="150"/>
        <v>0</v>
      </c>
      <c r="AQ57" s="405">
        <f t="shared" si="151"/>
        <v>0</v>
      </c>
      <c r="AR57" s="405">
        <f t="shared" si="152"/>
        <v>0</v>
      </c>
    </row>
    <row r="58" spans="1:50" s="96" customFormat="1" outlineLevel="1">
      <c r="A58" s="42">
        <v>4570</v>
      </c>
      <c r="B58" s="43" t="s">
        <v>111</v>
      </c>
      <c r="C58" s="44">
        <f>'PLAN 2018'!C47</f>
        <v>68786.566666666666</v>
      </c>
      <c r="D58" s="44">
        <f>'PLAN 2018'!D47</f>
        <v>77248.5</v>
      </c>
      <c r="E58" s="44">
        <f>'PLAN 2018'!E47</f>
        <v>159840.16666666666</v>
      </c>
      <c r="F58" s="44">
        <f>'PLAN 2018'!S47</f>
        <v>141582.33333333337</v>
      </c>
      <c r="G58" s="44">
        <f>'PLAN 2018'!AG47</f>
        <v>215968.22222222222</v>
      </c>
      <c r="H58" s="44">
        <f>G58+investice!AH69</f>
        <v>215968.22222222222</v>
      </c>
      <c r="I58" s="44">
        <f>H58+investice!AI69</f>
        <v>215968.22222222222</v>
      </c>
      <c r="J58" s="44">
        <f>I58+investice!AJ69</f>
        <v>215968.22222222222</v>
      </c>
      <c r="K58" s="44">
        <f>J58+investice!AK69</f>
        <v>215968.22222222222</v>
      </c>
      <c r="L58" s="333">
        <v>1</v>
      </c>
      <c r="M58" s="43" t="s">
        <v>111</v>
      </c>
      <c r="N58" s="44">
        <f t="shared" si="153"/>
        <v>215968.22222222222</v>
      </c>
      <c r="O58" s="44">
        <f t="shared" ref="O58" si="154">H58</f>
        <v>215968.22222222222</v>
      </c>
      <c r="P58" s="44">
        <f t="shared" ref="P58" si="155">I58</f>
        <v>215968.22222222222</v>
      </c>
      <c r="Q58" s="44">
        <f t="shared" ref="Q58" si="156">J58</f>
        <v>215968.22222222222</v>
      </c>
      <c r="R58" s="44">
        <f t="shared" ref="R58" si="157">K58</f>
        <v>215968.22222222222</v>
      </c>
      <c r="S58" s="333"/>
      <c r="T58" s="43" t="s">
        <v>111</v>
      </c>
      <c r="U58" s="44">
        <f>'PLAN 2018'!AU47</f>
        <v>0</v>
      </c>
      <c r="V58" s="44">
        <f t="shared" si="146"/>
        <v>0</v>
      </c>
      <c r="W58" s="44">
        <f t="shared" si="146"/>
        <v>0</v>
      </c>
      <c r="X58" s="44">
        <f t="shared" si="146"/>
        <v>0</v>
      </c>
      <c r="Y58" s="44">
        <f t="shared" si="146"/>
        <v>0</v>
      </c>
      <c r="Z58" s="333"/>
      <c r="AA58" s="43" t="s">
        <v>111</v>
      </c>
      <c r="AB58" s="44">
        <f>'PLAN 2018'!BB47</f>
        <v>0</v>
      </c>
      <c r="AC58" s="44">
        <f t="shared" si="147"/>
        <v>0</v>
      </c>
      <c r="AD58" s="44">
        <f t="shared" si="147"/>
        <v>0</v>
      </c>
      <c r="AE58" s="44">
        <f t="shared" si="147"/>
        <v>0</v>
      </c>
      <c r="AF58" s="44">
        <f t="shared" si="147"/>
        <v>0</v>
      </c>
      <c r="AH58" s="435">
        <f t="shared" si="18"/>
        <v>0</v>
      </c>
      <c r="AI58" s="435">
        <f>H58-SUM(O58,V58,AC58)</f>
        <v>0</v>
      </c>
      <c r="AJ58" s="435">
        <f>I58-SUM(P58,W58,AD58)</f>
        <v>0</v>
      </c>
      <c r="AK58" s="435">
        <f>J58-SUM(Q58,X58,AE58)</f>
        <v>0</v>
      </c>
      <c r="AL58" s="435">
        <f>K58-SUM(R58,Y58,AF58)</f>
        <v>0</v>
      </c>
      <c r="AM58" s="444"/>
      <c r="AN58" s="424">
        <f t="shared" si="148"/>
        <v>0.52538962409779577</v>
      </c>
      <c r="AO58" s="405">
        <f t="shared" si="149"/>
        <v>0</v>
      </c>
      <c r="AP58" s="405">
        <f t="shared" si="150"/>
        <v>0</v>
      </c>
      <c r="AQ58" s="405">
        <f t="shared" si="151"/>
        <v>0</v>
      </c>
      <c r="AR58" s="405">
        <f t="shared" si="152"/>
        <v>0</v>
      </c>
      <c r="AS58" s="410" t="s">
        <v>432</v>
      </c>
      <c r="AT58" s="410"/>
      <c r="AU58" s="410"/>
      <c r="AV58" s="410"/>
      <c r="AW58" s="410"/>
      <c r="AX58" s="410"/>
    </row>
    <row r="59" spans="1:50" s="96" customFormat="1">
      <c r="A59" s="57">
        <v>9400</v>
      </c>
      <c r="B59" s="57" t="s">
        <v>112</v>
      </c>
      <c r="C59" s="41">
        <f>'PLAN 2018'!C48</f>
        <v>247872.66499999998</v>
      </c>
      <c r="D59" s="41">
        <f>'PLAN 2018'!D48</f>
        <v>275433.09333333332</v>
      </c>
      <c r="E59" s="41">
        <f>'PLAN 2018'!E48</f>
        <v>357247.83833333332</v>
      </c>
      <c r="F59" s="41">
        <f t="shared" ref="F59:G59" si="158">SUM(F51:F58)</f>
        <v>307854.83333333337</v>
      </c>
      <c r="G59" s="41">
        <f t="shared" si="158"/>
        <v>408146.83972222218</v>
      </c>
      <c r="H59" s="41">
        <f t="shared" ref="H59:K59" si="159">SUM(H51:H58)</f>
        <v>408146.83972222218</v>
      </c>
      <c r="I59" s="41">
        <f t="shared" si="159"/>
        <v>408146.83972222218</v>
      </c>
      <c r="J59" s="41">
        <f t="shared" si="159"/>
        <v>408146.83972222218</v>
      </c>
      <c r="K59" s="41">
        <f t="shared" si="159"/>
        <v>408146.83972222218</v>
      </c>
      <c r="L59" s="333"/>
      <c r="M59" s="57" t="s">
        <v>112</v>
      </c>
      <c r="N59" s="41">
        <f t="shared" ref="N59:R59" si="160">SUM(N51:N58)</f>
        <v>408146.83972222218</v>
      </c>
      <c r="O59" s="41">
        <f t="shared" si="160"/>
        <v>408146.83972222218</v>
      </c>
      <c r="P59" s="41">
        <f t="shared" si="160"/>
        <v>408146.83972222218</v>
      </c>
      <c r="Q59" s="41">
        <f t="shared" si="160"/>
        <v>408146.83972222218</v>
      </c>
      <c r="R59" s="41">
        <f t="shared" si="160"/>
        <v>408146.83972222218</v>
      </c>
      <c r="S59" s="333"/>
      <c r="T59" s="57" t="s">
        <v>112</v>
      </c>
      <c r="U59" s="41">
        <f t="shared" ref="U59:Y59" si="161">SUM(U51:U58)</f>
        <v>0</v>
      </c>
      <c r="V59" s="41">
        <f t="shared" si="161"/>
        <v>0</v>
      </c>
      <c r="W59" s="41">
        <f t="shared" si="161"/>
        <v>0</v>
      </c>
      <c r="X59" s="41">
        <f t="shared" si="161"/>
        <v>0</v>
      </c>
      <c r="Y59" s="41">
        <f t="shared" si="161"/>
        <v>0</v>
      </c>
      <c r="Z59" s="333"/>
      <c r="AA59" s="57" t="s">
        <v>112</v>
      </c>
      <c r="AB59" s="41">
        <f t="shared" ref="AB59:AF59" si="162">SUM(AB51:AB58)</f>
        <v>0</v>
      </c>
      <c r="AC59" s="41">
        <f t="shared" si="162"/>
        <v>0</v>
      </c>
      <c r="AD59" s="41">
        <f t="shared" si="162"/>
        <v>0</v>
      </c>
      <c r="AE59" s="41">
        <f t="shared" si="162"/>
        <v>0</v>
      </c>
      <c r="AF59" s="41">
        <f t="shared" si="162"/>
        <v>0</v>
      </c>
      <c r="AH59" s="435">
        <f t="shared" si="18"/>
        <v>0</v>
      </c>
      <c r="AI59" s="435">
        <f t="shared" si="18"/>
        <v>0</v>
      </c>
      <c r="AJ59" s="435">
        <f t="shared" si="18"/>
        <v>0</v>
      </c>
      <c r="AK59" s="435">
        <f t="shared" si="18"/>
        <v>0</v>
      </c>
      <c r="AL59" s="435">
        <f t="shared" si="39"/>
        <v>0</v>
      </c>
      <c r="AM59" s="444"/>
      <c r="AN59" s="405">
        <f t="shared" si="148"/>
        <v>0.32577694266796353</v>
      </c>
      <c r="AO59" s="405">
        <f t="shared" si="149"/>
        <v>0</v>
      </c>
      <c r="AP59" s="405">
        <f t="shared" si="150"/>
        <v>0</v>
      </c>
      <c r="AQ59" s="405">
        <f t="shared" si="151"/>
        <v>0</v>
      </c>
      <c r="AR59" s="405">
        <f t="shared" si="152"/>
        <v>0</v>
      </c>
    </row>
    <row r="60" spans="1:50" s="410" customFormat="1" ht="15.75" customHeight="1" outlineLevel="1">
      <c r="A60" s="406"/>
      <c r="B60" s="407" t="s">
        <v>451</v>
      </c>
      <c r="C60" s="408">
        <f>C59/C13</f>
        <v>1.3449503208119629E-2</v>
      </c>
      <c r="D60" s="408">
        <f t="shared" ref="D60:L60" si="163">D59/D13</f>
        <v>1.3515178252972335E-2</v>
      </c>
      <c r="E60" s="408">
        <f t="shared" si="163"/>
        <v>1.6017568383344366E-2</v>
      </c>
      <c r="F60" s="408">
        <f t="shared" si="163"/>
        <v>1.2617316136159148E-2</v>
      </c>
      <c r="G60" s="408">
        <f t="shared" si="163"/>
        <v>1.6129143279980558E-2</v>
      </c>
      <c r="H60" s="408">
        <f t="shared" si="163"/>
        <v>1.6129143279980558E-2</v>
      </c>
      <c r="I60" s="408">
        <f t="shared" si="163"/>
        <v>1.6129143279980558E-2</v>
      </c>
      <c r="J60" s="408">
        <f t="shared" si="163"/>
        <v>1.6129143279980558E-2</v>
      </c>
      <c r="K60" s="408">
        <f t="shared" si="163"/>
        <v>1.6129143279980558E-2</v>
      </c>
      <c r="L60" s="408">
        <f t="shared" si="163"/>
        <v>0</v>
      </c>
      <c r="M60" s="407"/>
      <c r="N60" s="408" t="str">
        <f t="shared" ref="N60" si="164">IFERROR(N59/N13,"")</f>
        <v/>
      </c>
      <c r="O60" s="408" t="str">
        <f t="shared" ref="O60" si="165">IFERROR(O59/O13,"")</f>
        <v/>
      </c>
      <c r="P60" s="408" t="str">
        <f t="shared" ref="P60" si="166">IFERROR(P59/P13,"")</f>
        <v/>
      </c>
      <c r="Q60" s="408" t="str">
        <f t="shared" ref="Q60" si="167">IFERROR(Q59/Q13,"")</f>
        <v/>
      </c>
      <c r="R60" s="408" t="str">
        <f t="shared" ref="R60" si="168">IFERROR(R59/R13,"")</f>
        <v/>
      </c>
      <c r="S60" s="409"/>
      <c r="T60" s="407"/>
      <c r="U60" s="408">
        <f t="shared" ref="U60" si="169">IFERROR(U59/U13,"")</f>
        <v>0</v>
      </c>
      <c r="V60" s="408">
        <f t="shared" ref="V60" si="170">IFERROR(V59/V13,"")</f>
        <v>0</v>
      </c>
      <c r="W60" s="408">
        <f t="shared" ref="W60" si="171">IFERROR(W59/W13,"")</f>
        <v>0</v>
      </c>
      <c r="X60" s="408">
        <f t="shared" ref="X60" si="172">IFERROR(X59/X13,"")</f>
        <v>0</v>
      </c>
      <c r="Y60" s="408">
        <f t="shared" ref="Y60" si="173">IFERROR(Y59/Y13,"")</f>
        <v>0</v>
      </c>
      <c r="Z60" s="409"/>
      <c r="AA60" s="407"/>
      <c r="AB60" s="408">
        <f t="shared" ref="AB60" si="174">IFERROR(AB59/AB13,"")</f>
        <v>0</v>
      </c>
      <c r="AC60" s="408">
        <f t="shared" ref="AC60" si="175">IFERROR(AC59/AC13,"")</f>
        <v>0</v>
      </c>
      <c r="AD60" s="408">
        <f t="shared" ref="AD60" si="176">IFERROR(AD59/AD13,"")</f>
        <v>0</v>
      </c>
      <c r="AE60" s="408">
        <f t="shared" ref="AE60" si="177">IFERROR(AE59/AE13,"")</f>
        <v>0</v>
      </c>
      <c r="AF60" s="408">
        <f t="shared" ref="AF60" si="178">IFERROR(AF59/AF13,"")</f>
        <v>0</v>
      </c>
      <c r="AH60" s="441"/>
      <c r="AI60" s="441"/>
      <c r="AJ60" s="441"/>
      <c r="AK60" s="441"/>
      <c r="AL60" s="441"/>
      <c r="AM60" s="444"/>
    </row>
    <row r="61" spans="1:50" s="100" customFormat="1" ht="26.1" customHeight="1" outlineLevel="1">
      <c r="A61" s="42">
        <v>5000</v>
      </c>
      <c r="B61" s="43" t="s">
        <v>113</v>
      </c>
      <c r="C61" s="51">
        <f>'PLAN 2018'!C49</f>
        <v>63968.829999999994</v>
      </c>
      <c r="D61" s="51">
        <f>'PLAN 2018'!D49</f>
        <v>70039.896666666667</v>
      </c>
      <c r="E61" s="51">
        <f>'PLAN 2018'!E49</f>
        <v>84777.823333333334</v>
      </c>
      <c r="F61" s="51">
        <f>'PLAN 2018'!S49</f>
        <v>84736.819999999992</v>
      </c>
      <c r="G61" s="51">
        <f>'PLAN 2018'!AG49</f>
        <v>73577.481462798838</v>
      </c>
      <c r="H61" s="51">
        <f>(H5+H7)*0.5%*1.39</f>
        <v>66273.331444660842</v>
      </c>
      <c r="I61" s="51">
        <f>(I5+I7)*0.5%*1.39</f>
        <v>66273.331444660842</v>
      </c>
      <c r="J61" s="51">
        <f>(J5+J7)*0.5%*1.39</f>
        <v>66273.331444660842</v>
      </c>
      <c r="K61" s="51">
        <f>(K5+K7)*0.5%*1.39</f>
        <v>66273.331444660842</v>
      </c>
      <c r="L61" s="335"/>
      <c r="M61" s="43" t="s">
        <v>113</v>
      </c>
      <c r="N61" s="51">
        <v>0</v>
      </c>
      <c r="O61" s="51">
        <f>(O5+O7)*0.5%*1.39</f>
        <v>0</v>
      </c>
      <c r="P61" s="51">
        <f>(P5+P7)*0.5%*1.39</f>
        <v>0</v>
      </c>
      <c r="Q61" s="51">
        <f>(Q5+Q7)*0.5%*1.39</f>
        <v>0</v>
      </c>
      <c r="R61" s="51">
        <f>(R5+R7)*0.5%*1.39</f>
        <v>0</v>
      </c>
      <c r="S61" s="335"/>
      <c r="T61" s="43" t="s">
        <v>113</v>
      </c>
      <c r="U61" s="51" t="e">
        <f t="shared" ref="U61:U62" si="179">G61-AB61-N61</f>
        <v>#REF!</v>
      </c>
      <c r="V61" s="51" t="e">
        <f t="shared" ref="V61" si="180">H61-AC61-O61</f>
        <v>#REF!</v>
      </c>
      <c r="W61" s="51" t="e">
        <f t="shared" ref="W61" si="181">I61-AD61-P61</f>
        <v>#REF!</v>
      </c>
      <c r="X61" s="51" t="e">
        <f t="shared" ref="X61" si="182">J61-AE61-Q61</f>
        <v>#REF!</v>
      </c>
      <c r="Y61" s="51" t="e">
        <f t="shared" ref="Y61" si="183">K61-AF61-R61</f>
        <v>#REF!</v>
      </c>
      <c r="Z61" s="335"/>
      <c r="AA61" s="43" t="s">
        <v>113</v>
      </c>
      <c r="AB61" s="51" t="e">
        <f>#REF!</f>
        <v>#REF!</v>
      </c>
      <c r="AC61" s="51" t="e">
        <f>AB61*1.1</f>
        <v>#REF!</v>
      </c>
      <c r="AD61" s="51" t="e">
        <f t="shared" ref="AD61:AF61" si="184">AC61*1.1</f>
        <v>#REF!</v>
      </c>
      <c r="AE61" s="51" t="e">
        <f t="shared" si="184"/>
        <v>#REF!</v>
      </c>
      <c r="AF61" s="51" t="e">
        <f t="shared" si="184"/>
        <v>#REF!</v>
      </c>
      <c r="AH61" s="435" t="e">
        <f t="shared" si="18"/>
        <v>#REF!</v>
      </c>
      <c r="AI61" s="435" t="e">
        <f t="shared" si="18"/>
        <v>#REF!</v>
      </c>
      <c r="AJ61" s="435" t="e">
        <f t="shared" si="18"/>
        <v>#REF!</v>
      </c>
      <c r="AK61" s="435" t="e">
        <f t="shared" si="18"/>
        <v>#REF!</v>
      </c>
      <c r="AL61" s="435" t="e">
        <f t="shared" si="39"/>
        <v>#REF!</v>
      </c>
      <c r="AM61" s="444"/>
      <c r="AN61" s="423">
        <f>(G61-F61)/F61</f>
        <v>-0.13169409162629842</v>
      </c>
      <c r="AO61" s="424">
        <f>(H61-G61)/G61</f>
        <v>-9.9271541685359441E-2</v>
      </c>
      <c r="AP61" s="423">
        <f>(I61-H61)/H61</f>
        <v>0</v>
      </c>
      <c r="AQ61" s="423">
        <f>(J61-I61)/I61</f>
        <v>0</v>
      </c>
      <c r="AR61" s="423">
        <f>(K61-J61)/J61</f>
        <v>0</v>
      </c>
      <c r="AS61" s="410" t="s">
        <v>434</v>
      </c>
      <c r="AT61" s="429"/>
      <c r="AU61" s="429"/>
      <c r="AV61" s="429"/>
      <c r="AW61" s="429"/>
      <c r="AX61" s="429"/>
    </row>
    <row r="62" spans="1:50" s="98" customFormat="1" outlineLevel="1">
      <c r="A62" s="42">
        <v>5050</v>
      </c>
      <c r="B62" s="43" t="s">
        <v>173</v>
      </c>
      <c r="C62" s="51">
        <f>'PLAN 2018'!C50</f>
        <v>0</v>
      </c>
      <c r="D62" s="51">
        <f>'PLAN 2018'!D50</f>
        <v>0</v>
      </c>
      <c r="E62" s="51">
        <f>'PLAN 2018'!E50</f>
        <v>0</v>
      </c>
      <c r="F62" s="51">
        <f>'PLAN 2018'!S50</f>
        <v>0</v>
      </c>
      <c r="G62" s="51">
        <f>'PLAN 2018'!AG50</f>
        <v>0</v>
      </c>
      <c r="H62" s="51">
        <v>0</v>
      </c>
      <c r="I62" s="51">
        <v>0</v>
      </c>
      <c r="J62" s="51">
        <v>0</v>
      </c>
      <c r="K62" s="51">
        <v>0</v>
      </c>
      <c r="L62" s="339"/>
      <c r="M62" s="43" t="s">
        <v>173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339"/>
      <c r="T62" s="43" t="s">
        <v>173</v>
      </c>
      <c r="U62" s="51" t="e">
        <f t="shared" si="179"/>
        <v>#REF!</v>
      </c>
      <c r="V62" s="51">
        <v>0</v>
      </c>
      <c r="W62" s="51">
        <v>0</v>
      </c>
      <c r="X62" s="51">
        <v>0</v>
      </c>
      <c r="Y62" s="51">
        <v>0</v>
      </c>
      <c r="Z62" s="339"/>
      <c r="AA62" s="43" t="s">
        <v>173</v>
      </c>
      <c r="AB62" s="51" t="e">
        <f>#REF!</f>
        <v>#REF!</v>
      </c>
      <c r="AC62" s="51">
        <v>0</v>
      </c>
      <c r="AD62" s="51">
        <v>0</v>
      </c>
      <c r="AE62" s="51">
        <v>0</v>
      </c>
      <c r="AF62" s="51">
        <v>0</v>
      </c>
      <c r="AH62" s="435" t="e">
        <f t="shared" si="18"/>
        <v>#REF!</v>
      </c>
      <c r="AI62" s="435">
        <f t="shared" si="18"/>
        <v>0</v>
      </c>
      <c r="AJ62" s="435">
        <f t="shared" si="18"/>
        <v>0</v>
      </c>
      <c r="AK62" s="435">
        <f t="shared" si="18"/>
        <v>0</v>
      </c>
      <c r="AL62" s="435">
        <f t="shared" si="39"/>
        <v>0</v>
      </c>
      <c r="AM62" s="444"/>
      <c r="AN62" s="423"/>
      <c r="AO62" s="423"/>
      <c r="AP62" s="423"/>
      <c r="AQ62" s="423"/>
      <c r="AR62" s="423"/>
    </row>
    <row r="63" spans="1:50" s="100" customFormat="1" outlineLevel="1">
      <c r="A63" s="42">
        <v>5100</v>
      </c>
      <c r="B63" s="43" t="s">
        <v>60</v>
      </c>
      <c r="C63" s="51">
        <f>'PLAN 2018'!C51</f>
        <v>486192.60999999993</v>
      </c>
      <c r="D63" s="51">
        <f>'PLAN 2018'!D51</f>
        <v>385516.83666666667</v>
      </c>
      <c r="E63" s="51">
        <f>'PLAN 2018'!E51</f>
        <v>264891.02999999997</v>
      </c>
      <c r="F63" s="51">
        <f>'PLAN 2018'!S51</f>
        <v>54314.654999999984</v>
      </c>
      <c r="G63" s="51">
        <f>'PLAN 2018'!AG51</f>
        <v>744999.99999999965</v>
      </c>
      <c r="H63" s="51">
        <f>H13*$L63</f>
        <v>0</v>
      </c>
      <c r="I63" s="51">
        <f>I13*$L63</f>
        <v>0</v>
      </c>
      <c r="J63" s="51">
        <f>J13*$L63</f>
        <v>0</v>
      </c>
      <c r="K63" s="51">
        <f>K13*$L63</f>
        <v>0</v>
      </c>
      <c r="L63" s="482">
        <v>0</v>
      </c>
      <c r="M63" s="43" t="s">
        <v>60</v>
      </c>
      <c r="N63" s="51" t="e">
        <f>areal1!AG51+#REF!</f>
        <v>#REF!</v>
      </c>
      <c r="O63" s="51">
        <v>300000</v>
      </c>
      <c r="P63" s="51">
        <v>300000</v>
      </c>
      <c r="Q63" s="51">
        <v>300000</v>
      </c>
      <c r="R63" s="51">
        <v>300000</v>
      </c>
      <c r="S63" s="347"/>
      <c r="T63" s="43" t="s">
        <v>60</v>
      </c>
      <c r="U63" s="51" t="e">
        <f>G63-AB63-N63</f>
        <v>#REF!</v>
      </c>
      <c r="V63" s="51">
        <f t="shared" ref="V63:Y63" si="185">H63-AC63-O63</f>
        <v>-300000</v>
      </c>
      <c r="W63" s="51">
        <f t="shared" si="185"/>
        <v>-300000</v>
      </c>
      <c r="X63" s="51">
        <f t="shared" si="185"/>
        <v>-300000</v>
      </c>
      <c r="Y63" s="51">
        <f t="shared" si="185"/>
        <v>-300000</v>
      </c>
      <c r="Z63" s="347"/>
      <c r="AA63" s="43" t="s">
        <v>60</v>
      </c>
      <c r="AB63" s="51" t="e">
        <f>#REF!</f>
        <v>#REF!</v>
      </c>
      <c r="AC63" s="51">
        <f>AC13*$L63</f>
        <v>0</v>
      </c>
      <c r="AD63" s="51">
        <f>AD13*$L63</f>
        <v>0</v>
      </c>
      <c r="AE63" s="51">
        <f>AE13*$L63</f>
        <v>0</v>
      </c>
      <c r="AF63" s="51">
        <f>AF13*$L63</f>
        <v>0</v>
      </c>
      <c r="AH63" s="435" t="e">
        <f t="shared" si="18"/>
        <v>#REF!</v>
      </c>
      <c r="AI63" s="435">
        <f t="shared" si="18"/>
        <v>0</v>
      </c>
      <c r="AJ63" s="435">
        <f t="shared" si="18"/>
        <v>0</v>
      </c>
      <c r="AK63" s="435">
        <f t="shared" si="18"/>
        <v>0</v>
      </c>
      <c r="AL63" s="435">
        <f t="shared" si="39"/>
        <v>0</v>
      </c>
      <c r="AM63" s="444"/>
      <c r="AN63" s="424">
        <f>(G63-F63)/F63</f>
        <v>12.716371760071013</v>
      </c>
      <c r="AO63" s="424">
        <f>(H63-G63)/G63</f>
        <v>-1</v>
      </c>
      <c r="AP63" s="405" t="e">
        <f>(I63-H63)/H63</f>
        <v>#DIV/0!</v>
      </c>
      <c r="AQ63" s="405" t="e">
        <f>(J63-I63)/I63</f>
        <v>#DIV/0!</v>
      </c>
      <c r="AR63" s="405" t="e">
        <f>(K63-J63)/J63</f>
        <v>#DIV/0!</v>
      </c>
      <c r="AS63" s="410" t="s">
        <v>435</v>
      </c>
      <c r="AT63" s="410"/>
      <c r="AU63" s="410"/>
      <c r="AV63" s="410"/>
      <c r="AW63" s="410"/>
      <c r="AX63" s="410"/>
    </row>
    <row r="64" spans="1:50" s="98" customFormat="1" outlineLevel="1">
      <c r="A64" s="42">
        <v>5150</v>
      </c>
      <c r="B64" s="43" t="s">
        <v>114</v>
      </c>
      <c r="C64" s="51">
        <f>'PLAN 2018'!C52</f>
        <v>-28103.255000000005</v>
      </c>
      <c r="D64" s="51">
        <f>'PLAN 2018'!D52</f>
        <v>172206.25833333333</v>
      </c>
      <c r="E64" s="51">
        <f>'PLAN 2018'!E52</f>
        <v>399507.41833333328</v>
      </c>
      <c r="F64" s="51">
        <f>'PLAN 2018'!S52</f>
        <v>293265.97666666668</v>
      </c>
      <c r="G64" s="51">
        <f>'PLAN 2018'!AG52</f>
        <v>0</v>
      </c>
      <c r="H64" s="51">
        <v>0</v>
      </c>
      <c r="I64" s="51">
        <v>0</v>
      </c>
      <c r="J64" s="51">
        <v>0</v>
      </c>
      <c r="K64" s="51">
        <v>0</v>
      </c>
      <c r="L64" s="339"/>
      <c r="M64" s="43" t="s">
        <v>114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339"/>
      <c r="T64" s="43" t="s">
        <v>114</v>
      </c>
      <c r="U64" s="51" t="e">
        <f t="shared" ref="U64:U72" si="186">G64-AB64-N64</f>
        <v>#REF!</v>
      </c>
      <c r="V64" s="51">
        <v>0</v>
      </c>
      <c r="W64" s="51">
        <v>0</v>
      </c>
      <c r="X64" s="51">
        <v>0</v>
      </c>
      <c r="Y64" s="51">
        <v>0</v>
      </c>
      <c r="Z64" s="339"/>
      <c r="AA64" s="43" t="s">
        <v>114</v>
      </c>
      <c r="AB64" s="51" t="e">
        <f>#REF!</f>
        <v>#REF!</v>
      </c>
      <c r="AC64" s="51">
        <v>0</v>
      </c>
      <c r="AD64" s="51">
        <v>0</v>
      </c>
      <c r="AE64" s="51">
        <v>0</v>
      </c>
      <c r="AF64" s="51">
        <v>0</v>
      </c>
      <c r="AH64" s="435" t="e">
        <f t="shared" si="18"/>
        <v>#REF!</v>
      </c>
      <c r="AI64" s="435">
        <f t="shared" si="18"/>
        <v>0</v>
      </c>
      <c r="AJ64" s="435">
        <f t="shared" si="18"/>
        <v>0</v>
      </c>
      <c r="AK64" s="435">
        <f t="shared" si="18"/>
        <v>0</v>
      </c>
      <c r="AL64" s="435">
        <f t="shared" si="39"/>
        <v>0</v>
      </c>
      <c r="AM64" s="444"/>
    </row>
    <row r="65" spans="1:50" s="98" customFormat="1" outlineLevel="1">
      <c r="A65" s="42">
        <v>5210</v>
      </c>
      <c r="B65" s="43" t="s">
        <v>115</v>
      </c>
      <c r="C65" s="51">
        <f>'PLAN 2018'!C53</f>
        <v>3082679.5</v>
      </c>
      <c r="D65" s="51">
        <f>'PLAN 2018'!D53</f>
        <v>3212204.66666666</v>
      </c>
      <c r="E65" s="51">
        <f>'PLAN 2018'!E53</f>
        <v>3432995.66666666</v>
      </c>
      <c r="F65" s="51">
        <f>'PLAN 2018'!S53</f>
        <v>3977376.9999999963</v>
      </c>
      <c r="G65" s="51">
        <f>'PLAN 2018'!AG53</f>
        <v>3969758</v>
      </c>
      <c r="H65" s="51">
        <f t="shared" ref="H65:K68" si="187">G65*$L65</f>
        <v>3969758</v>
      </c>
      <c r="I65" s="51">
        <f t="shared" si="187"/>
        <v>3969758</v>
      </c>
      <c r="J65" s="51">
        <f t="shared" si="187"/>
        <v>3969758</v>
      </c>
      <c r="K65" s="51">
        <f t="shared" si="187"/>
        <v>3969758</v>
      </c>
      <c r="L65" s="333">
        <v>1</v>
      </c>
      <c r="M65" s="43" t="s">
        <v>115</v>
      </c>
      <c r="N65" s="51" t="e">
        <f>areal1!AG53+#REF!+Vedeni!AG53+Kvalita!AG53+Admin!AG5</f>
        <v>#REF!</v>
      </c>
      <c r="O65" s="51" t="e">
        <f t="shared" ref="O65:R72" si="188">N65*$L65</f>
        <v>#REF!</v>
      </c>
      <c r="P65" s="51" t="e">
        <f t="shared" si="188"/>
        <v>#REF!</v>
      </c>
      <c r="Q65" s="51" t="e">
        <f t="shared" si="188"/>
        <v>#REF!</v>
      </c>
      <c r="R65" s="51" t="e">
        <f t="shared" si="188"/>
        <v>#REF!</v>
      </c>
      <c r="S65" s="333"/>
      <c r="T65" s="43" t="s">
        <v>115</v>
      </c>
      <c r="U65" s="51" t="e">
        <f t="shared" si="186"/>
        <v>#REF!</v>
      </c>
      <c r="V65" s="51" t="e">
        <f t="shared" ref="V65:Y72" si="189">U65*$L65</f>
        <v>#REF!</v>
      </c>
      <c r="W65" s="51" t="e">
        <f t="shared" si="189"/>
        <v>#REF!</v>
      </c>
      <c r="X65" s="51" t="e">
        <f t="shared" si="189"/>
        <v>#REF!</v>
      </c>
      <c r="Y65" s="51" t="e">
        <f t="shared" si="189"/>
        <v>#REF!</v>
      </c>
      <c r="Z65" s="333"/>
      <c r="AA65" s="43" t="s">
        <v>115</v>
      </c>
      <c r="AB65" s="51" t="e">
        <f>#REF!</f>
        <v>#REF!</v>
      </c>
      <c r="AC65" s="51" t="e">
        <f t="shared" ref="AC65:AF72" si="190">AB65*$L65</f>
        <v>#REF!</v>
      </c>
      <c r="AD65" s="51" t="e">
        <f t="shared" si="190"/>
        <v>#REF!</v>
      </c>
      <c r="AE65" s="51" t="e">
        <f t="shared" si="190"/>
        <v>#REF!</v>
      </c>
      <c r="AF65" s="51" t="e">
        <f t="shared" si="190"/>
        <v>#REF!</v>
      </c>
      <c r="AH65" s="435" t="e">
        <f t="shared" si="18"/>
        <v>#REF!</v>
      </c>
      <c r="AI65" s="435" t="e">
        <f t="shared" si="18"/>
        <v>#REF!</v>
      </c>
      <c r="AJ65" s="435" t="e">
        <f t="shared" si="18"/>
        <v>#REF!</v>
      </c>
      <c r="AK65" s="435" t="e">
        <f t="shared" si="18"/>
        <v>#REF!</v>
      </c>
      <c r="AL65" s="435" t="e">
        <f t="shared" si="39"/>
        <v>#REF!</v>
      </c>
      <c r="AM65" s="444"/>
      <c r="AN65" s="423">
        <f>(G65-F65)/F65</f>
        <v>-1.9155840645722752E-3</v>
      </c>
      <c r="AO65" s="423">
        <f>(H65-G65)/G65</f>
        <v>0</v>
      </c>
      <c r="AP65" s="405">
        <f>(I65-H65)/H65</f>
        <v>0</v>
      </c>
      <c r="AQ65" s="405">
        <f>(J65-I65)/I65</f>
        <v>0</v>
      </c>
      <c r="AR65" s="405">
        <f>(K65-J65)/J65</f>
        <v>0</v>
      </c>
      <c r="AS65" s="410" t="s">
        <v>436</v>
      </c>
      <c r="AT65" s="410"/>
      <c r="AU65" s="410"/>
      <c r="AV65" s="410"/>
      <c r="AW65" s="410"/>
      <c r="AX65" s="410"/>
    </row>
    <row r="66" spans="1:50" s="96" customFormat="1" outlineLevel="1">
      <c r="A66" s="42">
        <v>5220</v>
      </c>
      <c r="B66" s="43" t="s">
        <v>59</v>
      </c>
      <c r="C66" s="51">
        <f>'PLAN 2018'!C54</f>
        <v>24268.773333333334</v>
      </c>
      <c r="D66" s="51">
        <f>'PLAN 2018'!D54</f>
        <v>14500.528333333335</v>
      </c>
      <c r="E66" s="51">
        <f>'PLAN 2018'!E54</f>
        <v>21646.32</v>
      </c>
      <c r="F66" s="51">
        <f>'PLAN 2018'!S54</f>
        <v>29016.666666666668</v>
      </c>
      <c r="G66" s="51">
        <f>'PLAN 2018'!AG54</f>
        <v>153000</v>
      </c>
      <c r="H66" s="51">
        <f t="shared" si="187"/>
        <v>153000</v>
      </c>
      <c r="I66" s="51">
        <f t="shared" si="187"/>
        <v>153000</v>
      </c>
      <c r="J66" s="51">
        <f t="shared" si="187"/>
        <v>153000</v>
      </c>
      <c r="K66" s="51">
        <f t="shared" si="187"/>
        <v>153000</v>
      </c>
      <c r="L66" s="333">
        <v>1</v>
      </c>
      <c r="M66" s="43" t="s">
        <v>59</v>
      </c>
      <c r="N66" s="51">
        <f>G66</f>
        <v>153000</v>
      </c>
      <c r="O66" s="51">
        <f t="shared" si="188"/>
        <v>153000</v>
      </c>
      <c r="P66" s="51">
        <f t="shared" si="188"/>
        <v>153000</v>
      </c>
      <c r="Q66" s="51">
        <f t="shared" si="188"/>
        <v>153000</v>
      </c>
      <c r="R66" s="51">
        <f t="shared" si="188"/>
        <v>153000</v>
      </c>
      <c r="S66" s="333"/>
      <c r="T66" s="43" t="s">
        <v>59</v>
      </c>
      <c r="U66" s="51" t="e">
        <f t="shared" si="186"/>
        <v>#REF!</v>
      </c>
      <c r="V66" s="51" t="e">
        <f t="shared" si="189"/>
        <v>#REF!</v>
      </c>
      <c r="W66" s="51" t="e">
        <f t="shared" si="189"/>
        <v>#REF!</v>
      </c>
      <c r="X66" s="51" t="e">
        <f t="shared" si="189"/>
        <v>#REF!</v>
      </c>
      <c r="Y66" s="51" t="e">
        <f t="shared" si="189"/>
        <v>#REF!</v>
      </c>
      <c r="Z66" s="333"/>
      <c r="AA66" s="43" t="s">
        <v>59</v>
      </c>
      <c r="AB66" s="51" t="e">
        <f>#REF!</f>
        <v>#REF!</v>
      </c>
      <c r="AC66" s="51" t="e">
        <f t="shared" si="190"/>
        <v>#REF!</v>
      </c>
      <c r="AD66" s="51" t="e">
        <f t="shared" si="190"/>
        <v>#REF!</v>
      </c>
      <c r="AE66" s="51" t="e">
        <f t="shared" si="190"/>
        <v>#REF!</v>
      </c>
      <c r="AF66" s="51" t="e">
        <f t="shared" si="190"/>
        <v>#REF!</v>
      </c>
      <c r="AH66" s="435" t="e">
        <f t="shared" si="18"/>
        <v>#REF!</v>
      </c>
      <c r="AI66" s="435" t="e">
        <f t="shared" si="18"/>
        <v>#REF!</v>
      </c>
      <c r="AJ66" s="435" t="e">
        <f t="shared" si="18"/>
        <v>#REF!</v>
      </c>
      <c r="AK66" s="435" t="e">
        <f t="shared" si="18"/>
        <v>#REF!</v>
      </c>
      <c r="AL66" s="435" t="e">
        <f t="shared" si="39"/>
        <v>#REF!</v>
      </c>
      <c r="AM66" s="444"/>
    </row>
    <row r="67" spans="1:50" s="96" customFormat="1" outlineLevel="1">
      <c r="A67" s="42">
        <v>5230</v>
      </c>
      <c r="B67" s="43" t="s">
        <v>116</v>
      </c>
      <c r="C67" s="51">
        <f>'PLAN 2018'!C55</f>
        <v>54382.79</v>
      </c>
      <c r="D67" s="51">
        <f>'PLAN 2018'!D55</f>
        <v>58703.386666666665</v>
      </c>
      <c r="E67" s="51">
        <f>'PLAN 2018'!E55</f>
        <v>86017.468333333338</v>
      </c>
      <c r="F67" s="51">
        <f>'PLAN 2018'!S55</f>
        <v>84369.456666666665</v>
      </c>
      <c r="G67" s="51">
        <f>'PLAN 2018'!AG55</f>
        <v>168036</v>
      </c>
      <c r="H67" s="51">
        <f t="shared" si="187"/>
        <v>168036</v>
      </c>
      <c r="I67" s="51">
        <f t="shared" si="187"/>
        <v>168036</v>
      </c>
      <c r="J67" s="51">
        <f t="shared" si="187"/>
        <v>168036</v>
      </c>
      <c r="K67" s="51">
        <f t="shared" si="187"/>
        <v>168036</v>
      </c>
      <c r="L67" s="333">
        <v>1</v>
      </c>
      <c r="M67" s="43" t="s">
        <v>116</v>
      </c>
      <c r="N67" s="51" t="e">
        <f>areal1!AG55+#REF!+Vedeni!AG55+Kvalita!AG55+Admin!AG7</f>
        <v>#REF!</v>
      </c>
      <c r="O67" s="51" t="e">
        <f t="shared" si="188"/>
        <v>#REF!</v>
      </c>
      <c r="P67" s="51" t="e">
        <f t="shared" si="188"/>
        <v>#REF!</v>
      </c>
      <c r="Q67" s="51" t="e">
        <f t="shared" si="188"/>
        <v>#REF!</v>
      </c>
      <c r="R67" s="51" t="e">
        <f t="shared" si="188"/>
        <v>#REF!</v>
      </c>
      <c r="S67" s="348"/>
      <c r="T67" s="43" t="s">
        <v>116</v>
      </c>
      <c r="U67" s="51" t="e">
        <f t="shared" si="186"/>
        <v>#REF!</v>
      </c>
      <c r="V67" s="51" t="e">
        <f t="shared" si="189"/>
        <v>#REF!</v>
      </c>
      <c r="W67" s="51" t="e">
        <f t="shared" si="189"/>
        <v>#REF!</v>
      </c>
      <c r="X67" s="51" t="e">
        <f t="shared" si="189"/>
        <v>#REF!</v>
      </c>
      <c r="Y67" s="51" t="e">
        <f t="shared" si="189"/>
        <v>#REF!</v>
      </c>
      <c r="Z67" s="348"/>
      <c r="AA67" s="43" t="s">
        <v>116</v>
      </c>
      <c r="AB67" s="51" t="e">
        <f>#REF!</f>
        <v>#REF!</v>
      </c>
      <c r="AC67" s="51" t="e">
        <f t="shared" si="190"/>
        <v>#REF!</v>
      </c>
      <c r="AD67" s="51" t="e">
        <f t="shared" si="190"/>
        <v>#REF!</v>
      </c>
      <c r="AE67" s="51" t="e">
        <f t="shared" si="190"/>
        <v>#REF!</v>
      </c>
      <c r="AF67" s="51" t="e">
        <f t="shared" si="190"/>
        <v>#REF!</v>
      </c>
      <c r="AH67" s="435" t="e">
        <f t="shared" si="18"/>
        <v>#REF!</v>
      </c>
      <c r="AI67" s="435" t="e">
        <f t="shared" si="18"/>
        <v>#REF!</v>
      </c>
      <c r="AJ67" s="435" t="e">
        <f t="shared" si="18"/>
        <v>#REF!</v>
      </c>
      <c r="AK67" s="435" t="e">
        <f t="shared" si="18"/>
        <v>#REF!</v>
      </c>
      <c r="AL67" s="435" t="e">
        <f t="shared" si="39"/>
        <v>#REF!</v>
      </c>
      <c r="AM67" s="444"/>
    </row>
    <row r="68" spans="1:50" s="96" customFormat="1" outlineLevel="1">
      <c r="A68" s="42">
        <v>5240</v>
      </c>
      <c r="B68" s="43" t="s">
        <v>117</v>
      </c>
      <c r="C68" s="51">
        <f>'PLAN 2018'!C56</f>
        <v>135333.88333333333</v>
      </c>
      <c r="D68" s="51">
        <f>'PLAN 2018'!D56</f>
        <v>148651.95499999999</v>
      </c>
      <c r="E68" s="51">
        <f>'PLAN 2018'!E56</f>
        <v>151121.40166666664</v>
      </c>
      <c r="F68" s="51">
        <f>'PLAN 2018'!S56</f>
        <v>200262.33333333334</v>
      </c>
      <c r="G68" s="51">
        <f>'PLAN 2018'!AG56</f>
        <v>229165.98347107437</v>
      </c>
      <c r="H68" s="51">
        <f t="shared" si="187"/>
        <v>229165.98347107437</v>
      </c>
      <c r="I68" s="51">
        <f t="shared" si="187"/>
        <v>229165.98347107437</v>
      </c>
      <c r="J68" s="51">
        <f t="shared" si="187"/>
        <v>229165.98347107437</v>
      </c>
      <c r="K68" s="51">
        <f t="shared" si="187"/>
        <v>229165.98347107437</v>
      </c>
      <c r="L68" s="430">
        <v>1</v>
      </c>
      <c r="M68" s="43" t="s">
        <v>117</v>
      </c>
      <c r="N68" s="51">
        <f>G68</f>
        <v>229165.98347107437</v>
      </c>
      <c r="O68" s="51">
        <f t="shared" si="188"/>
        <v>229165.98347107437</v>
      </c>
      <c r="P68" s="51">
        <f t="shared" si="188"/>
        <v>229165.98347107437</v>
      </c>
      <c r="Q68" s="51">
        <f t="shared" si="188"/>
        <v>229165.98347107437</v>
      </c>
      <c r="R68" s="51">
        <f t="shared" si="188"/>
        <v>229165.98347107437</v>
      </c>
      <c r="S68" s="348"/>
      <c r="T68" s="43" t="s">
        <v>117</v>
      </c>
      <c r="U68" s="51" t="e">
        <f t="shared" si="186"/>
        <v>#REF!</v>
      </c>
      <c r="V68" s="51" t="e">
        <f t="shared" si="189"/>
        <v>#REF!</v>
      </c>
      <c r="W68" s="51" t="e">
        <f t="shared" si="189"/>
        <v>#REF!</v>
      </c>
      <c r="X68" s="51" t="e">
        <f t="shared" si="189"/>
        <v>#REF!</v>
      </c>
      <c r="Y68" s="51" t="e">
        <f t="shared" si="189"/>
        <v>#REF!</v>
      </c>
      <c r="Z68" s="348"/>
      <c r="AA68" s="43" t="s">
        <v>117</v>
      </c>
      <c r="AB68" s="51" t="e">
        <f>#REF!</f>
        <v>#REF!</v>
      </c>
      <c r="AC68" s="51" t="e">
        <f t="shared" si="190"/>
        <v>#REF!</v>
      </c>
      <c r="AD68" s="51" t="e">
        <f t="shared" si="190"/>
        <v>#REF!</v>
      </c>
      <c r="AE68" s="51" t="e">
        <f t="shared" si="190"/>
        <v>#REF!</v>
      </c>
      <c r="AF68" s="51" t="e">
        <f t="shared" si="190"/>
        <v>#REF!</v>
      </c>
      <c r="AH68" s="435" t="e">
        <f t="shared" si="18"/>
        <v>#REF!</v>
      </c>
      <c r="AI68" s="435" t="e">
        <f t="shared" si="18"/>
        <v>#REF!</v>
      </c>
      <c r="AJ68" s="435" t="e">
        <f t="shared" si="18"/>
        <v>#REF!</v>
      </c>
      <c r="AK68" s="435" t="e">
        <f t="shared" si="18"/>
        <v>#REF!</v>
      </c>
      <c r="AL68" s="435" t="e">
        <f t="shared" si="39"/>
        <v>#REF!</v>
      </c>
      <c r="AM68" s="444"/>
    </row>
    <row r="69" spans="1:50" s="96" customFormat="1" outlineLevel="1">
      <c r="A69" s="42">
        <v>5300</v>
      </c>
      <c r="B69" s="43" t="s">
        <v>15</v>
      </c>
      <c r="C69" s="51">
        <f>'PLAN 2018'!C57</f>
        <v>88898.333333333328</v>
      </c>
      <c r="D69" s="51">
        <f>'PLAN 2018'!D57</f>
        <v>86727.288333333345</v>
      </c>
      <c r="E69" s="51">
        <f>'PLAN 2018'!E57</f>
        <v>93093.310000000012</v>
      </c>
      <c r="F69" s="51">
        <f>'PLAN 2018'!S57</f>
        <v>428400</v>
      </c>
      <c r="G69" s="51">
        <f>'PLAN 2018'!AG57</f>
        <v>462400</v>
      </c>
      <c r="H69" s="51">
        <v>3000000</v>
      </c>
      <c r="I69" s="51">
        <f>H69</f>
        <v>3000000</v>
      </c>
      <c r="J69" s="51">
        <f t="shared" ref="J69:K72" si="191">I69*$L69</f>
        <v>3000000</v>
      </c>
      <c r="K69" s="51">
        <f t="shared" si="191"/>
        <v>3000000</v>
      </c>
      <c r="L69" s="333">
        <v>1</v>
      </c>
      <c r="M69" s="43" t="s">
        <v>15</v>
      </c>
      <c r="N69" s="51">
        <f>G69</f>
        <v>462400</v>
      </c>
      <c r="O69" s="51">
        <f t="shared" ref="O69:R69" si="192">H69</f>
        <v>3000000</v>
      </c>
      <c r="P69" s="51">
        <f t="shared" si="192"/>
        <v>3000000</v>
      </c>
      <c r="Q69" s="51">
        <f t="shared" si="192"/>
        <v>3000000</v>
      </c>
      <c r="R69" s="51">
        <f t="shared" si="192"/>
        <v>3000000</v>
      </c>
      <c r="S69" s="348"/>
      <c r="T69" s="43" t="s">
        <v>15</v>
      </c>
      <c r="U69" s="51" t="e">
        <f t="shared" si="186"/>
        <v>#REF!</v>
      </c>
      <c r="V69" s="51" t="e">
        <f t="shared" ref="V69" si="193">H69-AC69-O69</f>
        <v>#REF!</v>
      </c>
      <c r="W69" s="51" t="e">
        <f t="shared" ref="W69" si="194">I69-AD69-P69</f>
        <v>#REF!</v>
      </c>
      <c r="X69" s="51" t="e">
        <f t="shared" ref="X69" si="195">J69-AE69-Q69</f>
        <v>#REF!</v>
      </c>
      <c r="Y69" s="51" t="e">
        <f t="shared" ref="Y69" si="196">K69-AF69-R69</f>
        <v>#REF!</v>
      </c>
      <c r="Z69" s="333"/>
      <c r="AA69" s="43" t="s">
        <v>15</v>
      </c>
      <c r="AB69" s="51" t="e">
        <f>#REF!</f>
        <v>#REF!</v>
      </c>
      <c r="AC69" s="51" t="e">
        <f t="shared" si="190"/>
        <v>#REF!</v>
      </c>
      <c r="AD69" s="51" t="e">
        <f t="shared" si="190"/>
        <v>#REF!</v>
      </c>
      <c r="AE69" s="51" t="e">
        <f t="shared" si="190"/>
        <v>#REF!</v>
      </c>
      <c r="AF69" s="51" t="e">
        <f t="shared" si="190"/>
        <v>#REF!</v>
      </c>
      <c r="AH69" s="435" t="e">
        <f>G69-SUM(N69,U69,AB69)</f>
        <v>#REF!</v>
      </c>
      <c r="AI69" s="435" t="e">
        <f>H69-SUM(O69,V69,AC69)</f>
        <v>#REF!</v>
      </c>
      <c r="AJ69" s="435" t="e">
        <f>I69-SUM(P69,W69,AD69)</f>
        <v>#REF!</v>
      </c>
      <c r="AK69" s="435" t="e">
        <f>J69-SUM(Q69,X69,AE69)</f>
        <v>#REF!</v>
      </c>
      <c r="AL69" s="435" t="e">
        <f>K69-SUM(R69,Y69,AF69)</f>
        <v>#REF!</v>
      </c>
      <c r="AM69" s="444"/>
      <c r="AN69" s="423">
        <f t="shared" ref="AN69:AR70" si="197">(G69-F69)/F69</f>
        <v>7.9365079365079361E-2</v>
      </c>
      <c r="AO69" s="423">
        <f t="shared" si="197"/>
        <v>5.4878892733564015</v>
      </c>
      <c r="AP69" s="405">
        <f t="shared" si="197"/>
        <v>0</v>
      </c>
      <c r="AQ69" s="405">
        <f t="shared" si="197"/>
        <v>0</v>
      </c>
      <c r="AR69" s="405">
        <f t="shared" si="197"/>
        <v>0</v>
      </c>
      <c r="AS69" s="410" t="s">
        <v>437</v>
      </c>
      <c r="AT69" s="410"/>
      <c r="AU69" s="410"/>
      <c r="AV69" s="410"/>
      <c r="AW69" s="410"/>
      <c r="AX69" s="410"/>
    </row>
    <row r="70" spans="1:50" s="98" customFormat="1" outlineLevel="1">
      <c r="A70" s="42">
        <v>5400</v>
      </c>
      <c r="B70" s="43" t="s">
        <v>118</v>
      </c>
      <c r="C70" s="51">
        <f>'PLAN 2018'!C58</f>
        <v>41099.146666666667</v>
      </c>
      <c r="D70" s="51">
        <f>'PLAN 2018'!D58</f>
        <v>62869.049999999996</v>
      </c>
      <c r="E70" s="51">
        <f>'PLAN 2018'!E58</f>
        <v>59213.528333333328</v>
      </c>
      <c r="F70" s="51">
        <f>'PLAN 2018'!S58</f>
        <v>112645.35166666667</v>
      </c>
      <c r="G70" s="51">
        <f>'PLAN 2018'!AG58</f>
        <v>633396</v>
      </c>
      <c r="H70" s="51">
        <f t="shared" ref="H70:I72" si="198">G70*$L70</f>
        <v>633396</v>
      </c>
      <c r="I70" s="51">
        <f t="shared" si="198"/>
        <v>633396</v>
      </c>
      <c r="J70" s="51">
        <f t="shared" si="191"/>
        <v>633396</v>
      </c>
      <c r="K70" s="51">
        <f t="shared" si="191"/>
        <v>633396</v>
      </c>
      <c r="L70" s="339">
        <v>1</v>
      </c>
      <c r="M70" s="43" t="s">
        <v>118</v>
      </c>
      <c r="N70" s="51">
        <f>G70</f>
        <v>633396</v>
      </c>
      <c r="O70" s="51">
        <f t="shared" si="188"/>
        <v>633396</v>
      </c>
      <c r="P70" s="51">
        <f t="shared" si="188"/>
        <v>633396</v>
      </c>
      <c r="Q70" s="51">
        <f t="shared" si="188"/>
        <v>633396</v>
      </c>
      <c r="R70" s="51">
        <f t="shared" si="188"/>
        <v>633396</v>
      </c>
      <c r="S70" s="339"/>
      <c r="T70" s="43" t="s">
        <v>118</v>
      </c>
      <c r="U70" s="51" t="e">
        <f t="shared" si="186"/>
        <v>#REF!</v>
      </c>
      <c r="V70" s="51" t="e">
        <f t="shared" si="189"/>
        <v>#REF!</v>
      </c>
      <c r="W70" s="51" t="e">
        <f t="shared" si="189"/>
        <v>#REF!</v>
      </c>
      <c r="X70" s="51" t="e">
        <f t="shared" si="189"/>
        <v>#REF!</v>
      </c>
      <c r="Y70" s="51" t="e">
        <f t="shared" si="189"/>
        <v>#REF!</v>
      </c>
      <c r="Z70" s="339"/>
      <c r="AA70" s="43" t="s">
        <v>118</v>
      </c>
      <c r="AB70" s="51" t="e">
        <f>#REF!</f>
        <v>#REF!</v>
      </c>
      <c r="AC70" s="51" t="e">
        <f t="shared" si="190"/>
        <v>#REF!</v>
      </c>
      <c r="AD70" s="51" t="e">
        <f t="shared" si="190"/>
        <v>#REF!</v>
      </c>
      <c r="AE70" s="51" t="e">
        <f t="shared" si="190"/>
        <v>#REF!</v>
      </c>
      <c r="AF70" s="51" t="e">
        <f t="shared" si="190"/>
        <v>#REF!</v>
      </c>
      <c r="AH70" s="435" t="e">
        <f t="shared" si="18"/>
        <v>#REF!</v>
      </c>
      <c r="AI70" s="435" t="e">
        <f t="shared" si="18"/>
        <v>#REF!</v>
      </c>
      <c r="AJ70" s="435" t="e">
        <f t="shared" si="18"/>
        <v>#REF!</v>
      </c>
      <c r="AK70" s="435" t="e">
        <f t="shared" si="18"/>
        <v>#REF!</v>
      </c>
      <c r="AL70" s="435" t="e">
        <f t="shared" si="39"/>
        <v>#REF!</v>
      </c>
      <c r="AM70" s="444"/>
      <c r="AN70" s="423">
        <f t="shared" si="197"/>
        <v>4.6229217684392978</v>
      </c>
      <c r="AO70" s="423">
        <f t="shared" si="197"/>
        <v>0</v>
      </c>
      <c r="AP70" s="405">
        <f t="shared" si="197"/>
        <v>0</v>
      </c>
      <c r="AQ70" s="405">
        <f t="shared" si="197"/>
        <v>0</v>
      </c>
      <c r="AR70" s="405">
        <f t="shared" si="197"/>
        <v>0</v>
      </c>
      <c r="AS70" s="431" t="s">
        <v>438</v>
      </c>
      <c r="AT70" s="431"/>
      <c r="AU70" s="431"/>
      <c r="AV70" s="431"/>
      <c r="AW70" s="431"/>
      <c r="AX70" s="431"/>
    </row>
    <row r="71" spans="1:50" s="98" customFormat="1" outlineLevel="1">
      <c r="A71" s="42">
        <v>5600</v>
      </c>
      <c r="B71" s="43" t="s">
        <v>119</v>
      </c>
      <c r="C71" s="51">
        <f>'PLAN 2018'!C59</f>
        <v>14920.666666666666</v>
      </c>
      <c r="D71" s="51">
        <f>'PLAN 2018'!D59</f>
        <v>14920.666666666666</v>
      </c>
      <c r="E71" s="51">
        <f>'PLAN 2018'!E59</f>
        <v>14920.666666666666</v>
      </c>
      <c r="F71" s="51">
        <f>'PLAN 2018'!S59</f>
        <v>73216</v>
      </c>
      <c r="G71" s="51">
        <f>'PLAN 2018'!AG59</f>
        <v>273216</v>
      </c>
      <c r="H71" s="51">
        <f>G71+investice!AH70</f>
        <v>273216</v>
      </c>
      <c r="I71" s="51">
        <f>H71+investice!AI70</f>
        <v>273216</v>
      </c>
      <c r="J71" s="51">
        <f>I71+investice!AJ70</f>
        <v>273216</v>
      </c>
      <c r="K71" s="51">
        <f>J71+investice!AK70</f>
        <v>273216</v>
      </c>
      <c r="L71" s="339">
        <v>1</v>
      </c>
      <c r="M71" s="43" t="s">
        <v>119</v>
      </c>
      <c r="N71" s="51">
        <f>G71</f>
        <v>273216</v>
      </c>
      <c r="O71" s="51">
        <f t="shared" si="188"/>
        <v>273216</v>
      </c>
      <c r="P71" s="51">
        <f t="shared" si="188"/>
        <v>273216</v>
      </c>
      <c r="Q71" s="51">
        <f t="shared" si="188"/>
        <v>273216</v>
      </c>
      <c r="R71" s="51">
        <f t="shared" si="188"/>
        <v>273216</v>
      </c>
      <c r="S71" s="339"/>
      <c r="T71" s="43" t="s">
        <v>119</v>
      </c>
      <c r="U71" s="51">
        <v>0</v>
      </c>
      <c r="V71" s="51">
        <f t="shared" si="189"/>
        <v>0</v>
      </c>
      <c r="W71" s="51">
        <f t="shared" si="189"/>
        <v>0</v>
      </c>
      <c r="X71" s="51">
        <f t="shared" si="189"/>
        <v>0</v>
      </c>
      <c r="Y71" s="51">
        <f t="shared" si="189"/>
        <v>0</v>
      </c>
      <c r="Z71" s="339"/>
      <c r="AA71" s="43" t="s">
        <v>119</v>
      </c>
      <c r="AB71" s="51">
        <v>0</v>
      </c>
      <c r="AC71" s="51">
        <f t="shared" si="190"/>
        <v>0</v>
      </c>
      <c r="AD71" s="51">
        <f t="shared" si="190"/>
        <v>0</v>
      </c>
      <c r="AE71" s="51">
        <f t="shared" si="190"/>
        <v>0</v>
      </c>
      <c r="AF71" s="51">
        <f t="shared" si="190"/>
        <v>0</v>
      </c>
      <c r="AH71" s="435">
        <f t="shared" si="18"/>
        <v>0</v>
      </c>
      <c r="AI71" s="435">
        <f t="shared" si="18"/>
        <v>0</v>
      </c>
      <c r="AJ71" s="435">
        <f t="shared" si="18"/>
        <v>0</v>
      </c>
      <c r="AK71" s="435">
        <f t="shared" si="18"/>
        <v>0</v>
      </c>
      <c r="AL71" s="435">
        <f t="shared" si="39"/>
        <v>0</v>
      </c>
      <c r="AM71" s="444"/>
    </row>
    <row r="72" spans="1:50" s="96" customFormat="1" outlineLevel="1">
      <c r="A72" s="42">
        <v>5800</v>
      </c>
      <c r="B72" s="43" t="s">
        <v>120</v>
      </c>
      <c r="C72" s="44">
        <f>'PLAN 2018'!C60</f>
        <v>185060.21333333329</v>
      </c>
      <c r="D72" s="44">
        <f>'PLAN 2018'!D60</f>
        <v>88548.20166666666</v>
      </c>
      <c r="E72" s="44">
        <f>'PLAN 2018'!E60</f>
        <v>132114.94999999998</v>
      </c>
      <c r="F72" s="44">
        <f>'PLAN 2018'!S60</f>
        <v>136318.94666666666</v>
      </c>
      <c r="G72" s="44">
        <f>'PLAN 2018'!AG60</f>
        <v>154400</v>
      </c>
      <c r="H72" s="44">
        <f t="shared" si="198"/>
        <v>154400</v>
      </c>
      <c r="I72" s="44">
        <f t="shared" si="198"/>
        <v>154400</v>
      </c>
      <c r="J72" s="44">
        <f t="shared" si="191"/>
        <v>154400</v>
      </c>
      <c r="K72" s="44">
        <f t="shared" si="191"/>
        <v>154400</v>
      </c>
      <c r="L72" s="333">
        <v>1</v>
      </c>
      <c r="M72" s="43" t="s">
        <v>120</v>
      </c>
      <c r="N72" s="44" t="e">
        <f>areal1!AG60+#REF!+Vedeni!AG60+Kvalita!AG60+Admin!AG12</f>
        <v>#REF!</v>
      </c>
      <c r="O72" s="44" t="e">
        <f t="shared" si="188"/>
        <v>#REF!</v>
      </c>
      <c r="P72" s="44" t="e">
        <f t="shared" si="188"/>
        <v>#REF!</v>
      </c>
      <c r="Q72" s="44" t="e">
        <f t="shared" si="188"/>
        <v>#REF!</v>
      </c>
      <c r="R72" s="44" t="e">
        <f t="shared" si="188"/>
        <v>#REF!</v>
      </c>
      <c r="S72" s="333"/>
      <c r="T72" s="43" t="s">
        <v>120</v>
      </c>
      <c r="U72" s="44" t="e">
        <f t="shared" si="186"/>
        <v>#REF!</v>
      </c>
      <c r="V72" s="44" t="e">
        <f t="shared" si="189"/>
        <v>#REF!</v>
      </c>
      <c r="W72" s="44" t="e">
        <f t="shared" si="189"/>
        <v>#REF!</v>
      </c>
      <c r="X72" s="44" t="e">
        <f t="shared" si="189"/>
        <v>#REF!</v>
      </c>
      <c r="Y72" s="44" t="e">
        <f t="shared" si="189"/>
        <v>#REF!</v>
      </c>
      <c r="Z72" s="333"/>
      <c r="AA72" s="43" t="s">
        <v>120</v>
      </c>
      <c r="AB72" s="44" t="e">
        <f>#REF!</f>
        <v>#REF!</v>
      </c>
      <c r="AC72" s="44" t="e">
        <f t="shared" si="190"/>
        <v>#REF!</v>
      </c>
      <c r="AD72" s="44" t="e">
        <f t="shared" si="190"/>
        <v>#REF!</v>
      </c>
      <c r="AE72" s="44" t="e">
        <f t="shared" si="190"/>
        <v>#REF!</v>
      </c>
      <c r="AF72" s="44" t="e">
        <f t="shared" si="190"/>
        <v>#REF!</v>
      </c>
      <c r="AH72" s="435" t="e">
        <f t="shared" si="18"/>
        <v>#REF!</v>
      </c>
      <c r="AI72" s="435" t="e">
        <f t="shared" si="18"/>
        <v>#REF!</v>
      </c>
      <c r="AJ72" s="435" t="e">
        <f t="shared" si="18"/>
        <v>#REF!</v>
      </c>
      <c r="AK72" s="435" t="e">
        <f t="shared" si="18"/>
        <v>#REF!</v>
      </c>
      <c r="AL72" s="435" t="e">
        <f t="shared" si="39"/>
        <v>#REF!</v>
      </c>
      <c r="AM72" s="444"/>
    </row>
    <row r="73" spans="1:50" s="96" customFormat="1">
      <c r="A73" s="57">
        <v>9500</v>
      </c>
      <c r="B73" s="57" t="s">
        <v>121</v>
      </c>
      <c r="C73" s="41">
        <f>'PLAN 2018'!C61</f>
        <v>4148701.4916666667</v>
      </c>
      <c r="D73" s="41">
        <f>'PLAN 2018'!D61</f>
        <v>4314888.7349999938</v>
      </c>
      <c r="E73" s="41">
        <f>'PLAN 2018'!E61</f>
        <v>4740299.5833333265</v>
      </c>
      <c r="F73" s="41">
        <f t="shared" ref="F73" si="199">SUM(F61:F72)</f>
        <v>5473923.2066666624</v>
      </c>
      <c r="G73" s="41">
        <f t="shared" ref="G73" si="200">SUM(G61:G72)</f>
        <v>6861949.4649338732</v>
      </c>
      <c r="H73" s="41">
        <f t="shared" ref="H73:K73" si="201">SUM(H61:H72)</f>
        <v>8647245.3149157353</v>
      </c>
      <c r="I73" s="41">
        <f t="shared" si="201"/>
        <v>8647245.3149157353</v>
      </c>
      <c r="J73" s="41">
        <f t="shared" si="201"/>
        <v>8647245.3149157353</v>
      </c>
      <c r="K73" s="41">
        <f t="shared" si="201"/>
        <v>8647245.3149157353</v>
      </c>
      <c r="L73" s="333"/>
      <c r="M73" s="57" t="s">
        <v>121</v>
      </c>
      <c r="N73" s="41" t="e">
        <f t="shared" ref="N73:R73" si="202">SUM(N61:N72)</f>
        <v>#REF!</v>
      </c>
      <c r="O73" s="41" t="e">
        <f t="shared" si="202"/>
        <v>#REF!</v>
      </c>
      <c r="P73" s="41" t="e">
        <f t="shared" si="202"/>
        <v>#REF!</v>
      </c>
      <c r="Q73" s="41" t="e">
        <f t="shared" si="202"/>
        <v>#REF!</v>
      </c>
      <c r="R73" s="41" t="e">
        <f t="shared" si="202"/>
        <v>#REF!</v>
      </c>
      <c r="S73" s="333"/>
      <c r="T73" s="57" t="s">
        <v>121</v>
      </c>
      <c r="U73" s="41" t="e">
        <f t="shared" ref="U73:Y73" si="203">SUM(U61:U72)</f>
        <v>#REF!</v>
      </c>
      <c r="V73" s="41" t="e">
        <f t="shared" si="203"/>
        <v>#REF!</v>
      </c>
      <c r="W73" s="41" t="e">
        <f t="shared" si="203"/>
        <v>#REF!</v>
      </c>
      <c r="X73" s="41" t="e">
        <f t="shared" si="203"/>
        <v>#REF!</v>
      </c>
      <c r="Y73" s="41" t="e">
        <f t="shared" si="203"/>
        <v>#REF!</v>
      </c>
      <c r="Z73" s="333"/>
      <c r="AA73" s="57" t="s">
        <v>121</v>
      </c>
      <c r="AB73" s="41" t="e">
        <f t="shared" ref="AB73:AF73" si="204">SUM(AB61:AB72)</f>
        <v>#REF!</v>
      </c>
      <c r="AC73" s="41" t="e">
        <f t="shared" si="204"/>
        <v>#REF!</v>
      </c>
      <c r="AD73" s="41" t="e">
        <f t="shared" si="204"/>
        <v>#REF!</v>
      </c>
      <c r="AE73" s="41" t="e">
        <f t="shared" si="204"/>
        <v>#REF!</v>
      </c>
      <c r="AF73" s="41" t="e">
        <f t="shared" si="204"/>
        <v>#REF!</v>
      </c>
      <c r="AH73" s="435" t="e">
        <f t="shared" si="18"/>
        <v>#REF!</v>
      </c>
      <c r="AI73" s="435" t="e">
        <f t="shared" si="18"/>
        <v>#REF!</v>
      </c>
      <c r="AJ73" s="435" t="e">
        <f t="shared" si="18"/>
        <v>#REF!</v>
      </c>
      <c r="AK73" s="435" t="e">
        <f t="shared" si="18"/>
        <v>#REF!</v>
      </c>
      <c r="AL73" s="435" t="e">
        <f t="shared" si="39"/>
        <v>#REF!</v>
      </c>
      <c r="AM73" s="444"/>
      <c r="AN73" s="423">
        <f>(G73-F73)/F73</f>
        <v>0.2535706486668905</v>
      </c>
      <c r="AO73" s="423">
        <f>(H73-G73)/G73</f>
        <v>0.2601732727856903</v>
      </c>
      <c r="AP73" s="405">
        <f>(I73-H73)/H73</f>
        <v>0</v>
      </c>
      <c r="AQ73" s="405">
        <f>(J73-I73)/I73</f>
        <v>0</v>
      </c>
      <c r="AR73" s="405">
        <f>(K73-J73)/J73</f>
        <v>0</v>
      </c>
      <c r="AS73" s="431" t="s">
        <v>439</v>
      </c>
      <c r="AT73" s="410"/>
      <c r="AU73" s="410"/>
      <c r="AV73" s="410"/>
      <c r="AW73" s="410"/>
      <c r="AX73" s="410"/>
    </row>
    <row r="74" spans="1:50" s="410" customFormat="1" ht="15.75" customHeight="1" outlineLevel="1">
      <c r="A74" s="406"/>
      <c r="B74" s="407" t="s">
        <v>443</v>
      </c>
      <c r="C74" s="408">
        <f t="shared" ref="C74:AG74" si="205">IFERROR(C73/C13,"")</f>
        <v>0.22510741158853287</v>
      </c>
      <c r="D74" s="408">
        <f t="shared" si="205"/>
        <v>0.21172652018503718</v>
      </c>
      <c r="E74" s="408">
        <f t="shared" si="205"/>
        <v>0.21253612922560217</v>
      </c>
      <c r="F74" s="408">
        <f t="shared" si="205"/>
        <v>0.22434671190882052</v>
      </c>
      <c r="G74" s="408">
        <f t="shared" si="205"/>
        <v>0.27117045957094638</v>
      </c>
      <c r="H74" s="408">
        <f t="shared" si="205"/>
        <v>0.34172176552031919</v>
      </c>
      <c r="I74" s="408">
        <f t="shared" si="205"/>
        <v>0.34172176552031919</v>
      </c>
      <c r="J74" s="408">
        <f t="shared" si="205"/>
        <v>0.34172176552031919</v>
      </c>
      <c r="K74" s="408">
        <f t="shared" si="205"/>
        <v>0.34172176552031919</v>
      </c>
      <c r="L74" s="408">
        <f t="shared" si="205"/>
        <v>0</v>
      </c>
      <c r="M74" s="408" t="str">
        <f t="shared" si="205"/>
        <v/>
      </c>
      <c r="N74" s="408" t="str">
        <f t="shared" si="205"/>
        <v/>
      </c>
      <c r="O74" s="408" t="str">
        <f t="shared" si="205"/>
        <v/>
      </c>
      <c r="P74" s="408" t="str">
        <f t="shared" si="205"/>
        <v/>
      </c>
      <c r="Q74" s="408" t="str">
        <f t="shared" si="205"/>
        <v/>
      </c>
      <c r="R74" s="408" t="str">
        <f t="shared" si="205"/>
        <v/>
      </c>
      <c r="S74" s="408" t="str">
        <f t="shared" si="205"/>
        <v/>
      </c>
      <c r="T74" s="408" t="str">
        <f t="shared" si="205"/>
        <v/>
      </c>
      <c r="U74" s="408" t="str">
        <f t="shared" si="205"/>
        <v/>
      </c>
      <c r="V74" s="408" t="str">
        <f t="shared" si="205"/>
        <v/>
      </c>
      <c r="W74" s="408" t="str">
        <f t="shared" si="205"/>
        <v/>
      </c>
      <c r="X74" s="408" t="str">
        <f t="shared" si="205"/>
        <v/>
      </c>
      <c r="Y74" s="408" t="str">
        <f t="shared" si="205"/>
        <v/>
      </c>
      <c r="Z74" s="408" t="str">
        <f t="shared" si="205"/>
        <v/>
      </c>
      <c r="AA74" s="408" t="str">
        <f t="shared" si="205"/>
        <v/>
      </c>
      <c r="AB74" s="408" t="str">
        <f t="shared" si="205"/>
        <v/>
      </c>
      <c r="AC74" s="408" t="str">
        <f t="shared" si="205"/>
        <v/>
      </c>
      <c r="AD74" s="408" t="str">
        <f t="shared" si="205"/>
        <v/>
      </c>
      <c r="AE74" s="408" t="str">
        <f t="shared" si="205"/>
        <v/>
      </c>
      <c r="AF74" s="408" t="str">
        <f t="shared" si="205"/>
        <v/>
      </c>
      <c r="AG74" s="408" t="str">
        <f t="shared" si="205"/>
        <v/>
      </c>
      <c r="AH74" s="441"/>
      <c r="AI74" s="441"/>
      <c r="AJ74" s="441"/>
      <c r="AK74" s="441"/>
      <c r="AL74" s="441"/>
      <c r="AM74" s="444"/>
    </row>
    <row r="75" spans="1:50" s="96" customFormat="1">
      <c r="A75" s="42">
        <v>5910</v>
      </c>
      <c r="B75" s="58" t="s">
        <v>5</v>
      </c>
      <c r="C75" s="41">
        <f>'PLAN 2018'!C62</f>
        <v>0</v>
      </c>
      <c r="D75" s="41">
        <f>'PLAN 2018'!D62</f>
        <v>0</v>
      </c>
      <c r="E75" s="41">
        <f>'PLAN 2018'!E62</f>
        <v>19158.628333333334</v>
      </c>
      <c r="F75" s="41">
        <f>+'PLAN 2018'!S62</f>
        <v>0</v>
      </c>
      <c r="G75" s="41">
        <f>+'PLAN 2018'!AG62</f>
        <v>0</v>
      </c>
      <c r="H75" s="41">
        <v>0</v>
      </c>
      <c r="I75" s="41">
        <v>0</v>
      </c>
      <c r="J75" s="41">
        <v>0</v>
      </c>
      <c r="K75" s="41">
        <v>0</v>
      </c>
      <c r="L75" s="333"/>
      <c r="M75" s="58" t="s">
        <v>5</v>
      </c>
      <c r="N75" s="41">
        <f>G75</f>
        <v>0</v>
      </c>
      <c r="O75" s="41">
        <v>0</v>
      </c>
      <c r="P75" s="41">
        <v>0</v>
      </c>
      <c r="Q75" s="41">
        <v>0</v>
      </c>
      <c r="R75" s="41">
        <v>0</v>
      </c>
      <c r="S75" s="333"/>
      <c r="T75" s="58" t="s">
        <v>5</v>
      </c>
      <c r="U75" s="41" t="e">
        <f>(N11*$AU$13)+(1.5%*U13)</f>
        <v>#REF!</v>
      </c>
      <c r="V75" s="41" t="e">
        <f>(O11*$AU$13)+(1.5%*V13)</f>
        <v>#REF!</v>
      </c>
      <c r="W75" s="41" t="e">
        <f>(P11*$AU$13)+(1.5%*W13)</f>
        <v>#REF!</v>
      </c>
      <c r="X75" s="41" t="e">
        <f>(Q11*$AU$13)+(1.5%*X13)</f>
        <v>#REF!</v>
      </c>
      <c r="Y75" s="41" t="e">
        <f>(R11*$AU$13)+(1.5%*Y13)</f>
        <v>#REF!</v>
      </c>
      <c r="Z75" s="41"/>
      <c r="AA75" s="41" t="s">
        <v>5</v>
      </c>
      <c r="AB75" s="41" t="e">
        <f>(N11*$AV$13)+(1%*AB13)</f>
        <v>#REF!</v>
      </c>
      <c r="AC75" s="41" t="e">
        <f t="shared" ref="AC75:AF75" si="206">(O11*$AV$13)+(1%*AC13)</f>
        <v>#REF!</v>
      </c>
      <c r="AD75" s="41" t="e">
        <f t="shared" si="206"/>
        <v>#REF!</v>
      </c>
      <c r="AE75" s="41" t="e">
        <f t="shared" si="206"/>
        <v>#REF!</v>
      </c>
      <c r="AF75" s="41" t="e">
        <f t="shared" si="206"/>
        <v>#REF!</v>
      </c>
      <c r="AH75" s="435" t="e">
        <f t="shared" si="18"/>
        <v>#REF!</v>
      </c>
      <c r="AI75" s="435" t="e">
        <f t="shared" si="18"/>
        <v>#REF!</v>
      </c>
      <c r="AJ75" s="435" t="e">
        <f t="shared" si="18"/>
        <v>#REF!</v>
      </c>
      <c r="AK75" s="435" t="e">
        <f t="shared" si="18"/>
        <v>#REF!</v>
      </c>
      <c r="AL75" s="435" t="e">
        <f t="shared" si="39"/>
        <v>#REF!</v>
      </c>
      <c r="AM75" s="444"/>
    </row>
    <row r="76" spans="1:50" s="96" customFormat="1">
      <c r="A76" s="59">
        <v>5920</v>
      </c>
      <c r="B76" s="60" t="s">
        <v>4</v>
      </c>
      <c r="C76" s="61">
        <f>'PLAN 2018'!C63</f>
        <v>89808.421666666647</v>
      </c>
      <c r="D76" s="61">
        <f>'PLAN 2018'!D63</f>
        <v>79347.31</v>
      </c>
      <c r="E76" s="61">
        <f>'PLAN 2018'!E63</f>
        <v>3633.3033333333328</v>
      </c>
      <c r="F76" s="41">
        <f>+'PLAN 2018'!S63</f>
        <v>4697.1499999999996</v>
      </c>
      <c r="G76" s="41">
        <f>+'PLAN 2018'!AG63</f>
        <v>0</v>
      </c>
      <c r="H76" s="41">
        <v>0</v>
      </c>
      <c r="I76" s="41">
        <v>0</v>
      </c>
      <c r="J76" s="41">
        <v>0</v>
      </c>
      <c r="K76" s="41">
        <v>0</v>
      </c>
      <c r="L76" s="333"/>
      <c r="M76" s="60" t="s">
        <v>4</v>
      </c>
      <c r="N76" s="41">
        <f>G76</f>
        <v>0</v>
      </c>
      <c r="O76" s="41">
        <v>0</v>
      </c>
      <c r="P76" s="41">
        <v>0</v>
      </c>
      <c r="Q76" s="41">
        <v>0</v>
      </c>
      <c r="R76" s="41">
        <v>0</v>
      </c>
      <c r="S76" s="333"/>
      <c r="T76" s="60" t="s">
        <v>4</v>
      </c>
      <c r="U76" s="41" t="e">
        <f>G76-AB76-N76</f>
        <v>#REF!</v>
      </c>
      <c r="V76" s="41">
        <v>0</v>
      </c>
      <c r="W76" s="41">
        <v>0</v>
      </c>
      <c r="X76" s="41">
        <v>0</v>
      </c>
      <c r="Y76" s="41">
        <v>0</v>
      </c>
      <c r="Z76" s="333"/>
      <c r="AA76" s="60" t="s">
        <v>4</v>
      </c>
      <c r="AB76" s="41" t="e">
        <f>#REF!</f>
        <v>#REF!</v>
      </c>
      <c r="AC76" s="41">
        <v>0</v>
      </c>
      <c r="AD76" s="41">
        <v>0</v>
      </c>
      <c r="AE76" s="41">
        <v>0</v>
      </c>
      <c r="AF76" s="41">
        <v>0</v>
      </c>
      <c r="AH76" s="448" t="e">
        <f t="shared" si="18"/>
        <v>#REF!</v>
      </c>
      <c r="AI76" s="448">
        <f t="shared" si="18"/>
        <v>0</v>
      </c>
      <c r="AJ76" s="448">
        <f t="shared" si="18"/>
        <v>0</v>
      </c>
      <c r="AK76" s="448">
        <f t="shared" si="18"/>
        <v>0</v>
      </c>
      <c r="AL76" s="448">
        <f t="shared" si="39"/>
        <v>0</v>
      </c>
      <c r="AM76" s="444"/>
    </row>
    <row r="77" spans="1:50" s="96" customFormat="1">
      <c r="A77" s="59">
        <v>9600</v>
      </c>
      <c r="B77" s="62" t="s">
        <v>122</v>
      </c>
      <c r="C77" s="63">
        <f>'PLAN 2018'!C64</f>
        <v>3164054.9266666365</v>
      </c>
      <c r="D77" s="63">
        <f>'PLAN 2018'!D64</f>
        <v>3404093.8077944503</v>
      </c>
      <c r="E77" s="63">
        <f>'PLAN 2018'!E64</f>
        <v>3469332.9134888966</v>
      </c>
      <c r="F77" s="63">
        <f t="shared" ref="F77:K77" si="207">F35-F59-F49-F73+F76-F75</f>
        <v>3540077.9601914776</v>
      </c>
      <c r="G77" s="63">
        <f t="shared" si="207"/>
        <v>1430795.8415099643</v>
      </c>
      <c r="H77" s="63">
        <f t="shared" si="207"/>
        <v>12890045.791528102</v>
      </c>
      <c r="I77" s="63">
        <f t="shared" si="207"/>
        <v>12890045.791528102</v>
      </c>
      <c r="J77" s="63">
        <f t="shared" si="207"/>
        <v>12890045.791528102</v>
      </c>
      <c r="K77" s="63">
        <f t="shared" si="207"/>
        <v>12890045.791528102</v>
      </c>
      <c r="L77" s="333"/>
      <c r="M77" s="62" t="s">
        <v>122</v>
      </c>
      <c r="N77" s="63" t="e">
        <f>N35-N59-N49-N73+N76-N75</f>
        <v>#REF!</v>
      </c>
      <c r="O77" s="63" t="e">
        <f>O35-O59-O49-O73+O76-O75</f>
        <v>#REF!</v>
      </c>
      <c r="P77" s="63" t="e">
        <f>P35-P59-P49-P73+P76-P75</f>
        <v>#REF!</v>
      </c>
      <c r="Q77" s="63" t="e">
        <f>Q35-Q59-Q49-Q73+Q76-Q75</f>
        <v>#REF!</v>
      </c>
      <c r="R77" s="63" t="e">
        <f>R35-R59-R49-R73+R76-R75</f>
        <v>#REF!</v>
      </c>
      <c r="S77" s="333"/>
      <c r="T77" s="62" t="s">
        <v>122</v>
      </c>
      <c r="U77" s="63" t="e">
        <f>U35-U59-U49-U73+U76-U75</f>
        <v>#REF!</v>
      </c>
      <c r="V77" s="63" t="e">
        <f>V35-V59-V49-V73+V76-V75</f>
        <v>#REF!</v>
      </c>
      <c r="W77" s="63" t="e">
        <f>W35-W59-W49-W73+W76-W75</f>
        <v>#REF!</v>
      </c>
      <c r="X77" s="63" t="e">
        <f>X35-X59-X49-X73+X76-X75</f>
        <v>#REF!</v>
      </c>
      <c r="Y77" s="63" t="e">
        <f>Y35-Y59-Y49-Y73+Y76-Y75</f>
        <v>#REF!</v>
      </c>
      <c r="Z77" s="333"/>
      <c r="AA77" s="62" t="s">
        <v>122</v>
      </c>
      <c r="AB77" s="63" t="e">
        <f>AB35-AB59-AB49-AB73+AB76-AB75</f>
        <v>#REF!</v>
      </c>
      <c r="AC77" s="63" t="e">
        <f>AC35-AC59-AC49-AC73+AC76-AC75</f>
        <v>#REF!</v>
      </c>
      <c r="AD77" s="63" t="e">
        <f>AD35-AD59-AD49-AD73+AD76-AD75</f>
        <v>#REF!</v>
      </c>
      <c r="AE77" s="63" t="e">
        <f>AE35-AE59-AE49-AE73+AE76-AE75</f>
        <v>#REF!</v>
      </c>
      <c r="AF77" s="63" t="e">
        <f>AF35-AF59-AF49-AF73+AF76-AF75</f>
        <v>#REF!</v>
      </c>
      <c r="AH77" s="435" t="e">
        <f t="shared" si="18"/>
        <v>#REF!</v>
      </c>
      <c r="AI77" s="435" t="e">
        <f t="shared" si="18"/>
        <v>#REF!</v>
      </c>
      <c r="AJ77" s="435" t="e">
        <f t="shared" si="18"/>
        <v>#REF!</v>
      </c>
      <c r="AK77" s="435" t="e">
        <f t="shared" si="18"/>
        <v>#REF!</v>
      </c>
      <c r="AL77" s="435" t="e">
        <f t="shared" si="39"/>
        <v>#REF!</v>
      </c>
      <c r="AM77" s="444"/>
    </row>
    <row r="78" spans="1:50" s="102" customFormat="1">
      <c r="A78" s="64">
        <v>9690</v>
      </c>
      <c r="B78" s="65" t="s">
        <v>123</v>
      </c>
      <c r="C78" s="66">
        <f>'PLAN 2018'!C65</f>
        <v>0.17168075748437064</v>
      </c>
      <c r="D78" s="66">
        <f>'PLAN 2018'!D65</f>
        <v>0.1670348833010529</v>
      </c>
      <c r="E78" s="66">
        <f>'PLAN 2018'!E65</f>
        <v>0.15555105230488589</v>
      </c>
      <c r="F78" s="66">
        <f t="shared" ref="F78:K78" si="208">F77/F13</f>
        <v>0.14508878190007937</v>
      </c>
      <c r="G78" s="66">
        <f t="shared" si="208"/>
        <v>5.6542177682475096E-2</v>
      </c>
      <c r="H78" s="66">
        <f t="shared" si="208"/>
        <v>0.50938871803727326</v>
      </c>
      <c r="I78" s="66">
        <f t="shared" si="208"/>
        <v>0.50938871803727326</v>
      </c>
      <c r="J78" s="66">
        <f t="shared" si="208"/>
        <v>0.50938871803727326</v>
      </c>
      <c r="K78" s="66">
        <f t="shared" si="208"/>
        <v>0.50938871803727326</v>
      </c>
      <c r="L78" s="340"/>
      <c r="M78" s="65" t="s">
        <v>123</v>
      </c>
      <c r="N78" s="66" t="e">
        <f>N77/N13</f>
        <v>#REF!</v>
      </c>
      <c r="O78" s="66" t="e">
        <f>O77/O13</f>
        <v>#REF!</v>
      </c>
      <c r="P78" s="66" t="e">
        <f>P77/P13</f>
        <v>#REF!</v>
      </c>
      <c r="Q78" s="66" t="e">
        <f>Q77/Q13</f>
        <v>#REF!</v>
      </c>
      <c r="R78" s="66" t="e">
        <f>R77/R13</f>
        <v>#REF!</v>
      </c>
      <c r="S78" s="340"/>
      <c r="T78" s="65" t="s">
        <v>123</v>
      </c>
      <c r="U78" s="66" t="e">
        <f>U77/U13</f>
        <v>#REF!</v>
      </c>
      <c r="V78" s="66" t="e">
        <f>V77/V13</f>
        <v>#REF!</v>
      </c>
      <c r="W78" s="66" t="e">
        <f>W77/W13</f>
        <v>#REF!</v>
      </c>
      <c r="X78" s="66" t="e">
        <f>X77/X13</f>
        <v>#REF!</v>
      </c>
      <c r="Y78" s="66" t="e">
        <f>Y77/Y13</f>
        <v>#REF!</v>
      </c>
      <c r="Z78" s="340"/>
      <c r="AA78" s="65" t="s">
        <v>123</v>
      </c>
      <c r="AB78" s="66" t="e">
        <f>AB77/AB13</f>
        <v>#REF!</v>
      </c>
      <c r="AC78" s="66" t="e">
        <f>AC77/AC13</f>
        <v>#REF!</v>
      </c>
      <c r="AD78" s="66" t="e">
        <f>AD77/AD13</f>
        <v>#REF!</v>
      </c>
      <c r="AE78" s="66" t="e">
        <f>AE77/AE13</f>
        <v>#REF!</v>
      </c>
      <c r="AF78" s="66" t="e">
        <f>AF77/AF13</f>
        <v>#REF!</v>
      </c>
      <c r="AH78" s="448"/>
      <c r="AI78" s="448"/>
      <c r="AJ78" s="448"/>
      <c r="AK78" s="448"/>
      <c r="AL78" s="448"/>
      <c r="AM78" s="444"/>
      <c r="AN78" s="417" t="s">
        <v>444</v>
      </c>
      <c r="AO78" s="417"/>
      <c r="AP78" s="417"/>
      <c r="AQ78" s="417"/>
      <c r="AR78" s="417"/>
    </row>
    <row r="79" spans="1:50" s="103" customFormat="1" outlineLevel="1">
      <c r="A79" s="42">
        <v>6100</v>
      </c>
      <c r="B79" s="43" t="s">
        <v>12</v>
      </c>
      <c r="C79" s="67">
        <f>'PLAN 2018'!C66</f>
        <v>14825.825000000003</v>
      </c>
      <c r="D79" s="67">
        <f>'PLAN 2018'!D66</f>
        <v>44622.491666666669</v>
      </c>
      <c r="E79" s="67">
        <f>'PLAN 2018'!E66</f>
        <v>5884.4233333333332</v>
      </c>
      <c r="F79" s="67">
        <f>'PLAN 2018'!S66</f>
        <v>64941.243333333332</v>
      </c>
      <c r="G79" s="67">
        <f>'PLAN 2018'!AG66</f>
        <v>64000.000000000007</v>
      </c>
      <c r="H79" s="67">
        <f t="shared" ref="H79:I79" si="209">G79</f>
        <v>64000.000000000007</v>
      </c>
      <c r="I79" s="67">
        <f t="shared" si="209"/>
        <v>64000.000000000007</v>
      </c>
      <c r="J79" s="67">
        <f t="shared" ref="J79" si="210">I79</f>
        <v>64000.000000000007</v>
      </c>
      <c r="K79" s="67">
        <f t="shared" ref="K79" si="211">J79</f>
        <v>64000.000000000007</v>
      </c>
      <c r="L79" s="341"/>
      <c r="M79" s="43" t="s">
        <v>12</v>
      </c>
      <c r="N79" s="67">
        <f>G79</f>
        <v>64000.000000000007</v>
      </c>
      <c r="O79" s="67">
        <f t="shared" ref="O79" si="212">N79</f>
        <v>64000.000000000007</v>
      </c>
      <c r="P79" s="67">
        <f t="shared" ref="P79" si="213">O79</f>
        <v>64000.000000000007</v>
      </c>
      <c r="Q79" s="67">
        <f t="shared" ref="Q79" si="214">P79</f>
        <v>64000.000000000007</v>
      </c>
      <c r="R79" s="67">
        <f t="shared" ref="R79" si="215">Q79</f>
        <v>64000.000000000007</v>
      </c>
      <c r="S79" s="341"/>
      <c r="T79" s="43" t="s">
        <v>12</v>
      </c>
      <c r="U79" s="67" t="e">
        <f>G79-AB79-N79</f>
        <v>#REF!</v>
      </c>
      <c r="V79" s="67" t="e">
        <f t="shared" ref="V79" si="216">U79</f>
        <v>#REF!</v>
      </c>
      <c r="W79" s="67" t="e">
        <f t="shared" ref="W79" si="217">V79</f>
        <v>#REF!</v>
      </c>
      <c r="X79" s="67" t="e">
        <f t="shared" ref="X79" si="218">W79</f>
        <v>#REF!</v>
      </c>
      <c r="Y79" s="67" t="e">
        <f t="shared" ref="Y79" si="219">X79</f>
        <v>#REF!</v>
      </c>
      <c r="Z79" s="341"/>
      <c r="AA79" s="43" t="s">
        <v>12</v>
      </c>
      <c r="AB79" s="67" t="e">
        <f>#REF!</f>
        <v>#REF!</v>
      </c>
      <c r="AC79" s="67" t="e">
        <f t="shared" ref="AC79" si="220">AB79</f>
        <v>#REF!</v>
      </c>
      <c r="AD79" s="67" t="e">
        <f t="shared" ref="AD79" si="221">AC79</f>
        <v>#REF!</v>
      </c>
      <c r="AE79" s="67" t="e">
        <f t="shared" ref="AE79" si="222">AD79</f>
        <v>#REF!</v>
      </c>
      <c r="AF79" s="67" t="e">
        <f t="shared" ref="AF79" si="223">AE79</f>
        <v>#REF!</v>
      </c>
      <c r="AH79" s="435" t="e">
        <f t="shared" si="18"/>
        <v>#REF!</v>
      </c>
      <c r="AI79" s="435" t="e">
        <f t="shared" si="18"/>
        <v>#REF!</v>
      </c>
      <c r="AJ79" s="435" t="e">
        <f t="shared" si="18"/>
        <v>#REF!</v>
      </c>
      <c r="AK79" s="435" t="e">
        <f t="shared" si="18"/>
        <v>#REF!</v>
      </c>
      <c r="AL79" s="435" t="e">
        <f t="shared" si="39"/>
        <v>#REF!</v>
      </c>
      <c r="AM79" s="444"/>
    </row>
    <row r="80" spans="1:50" s="104" customFormat="1" outlineLevel="1">
      <c r="A80" s="59">
        <v>6200</v>
      </c>
      <c r="B80" s="68" t="s">
        <v>13</v>
      </c>
      <c r="C80" s="69">
        <f>'PLAN 2018'!C67</f>
        <v>18627.88</v>
      </c>
      <c r="D80" s="69">
        <f>'PLAN 2018'!D67</f>
        <v>23372</v>
      </c>
      <c r="E80" s="69">
        <f>'PLAN 2018'!E67</f>
        <v>15462.468333333331</v>
      </c>
      <c r="F80" s="67">
        <f>'PLAN 2018'!S67</f>
        <v>56828.84166666666</v>
      </c>
      <c r="G80" s="67">
        <f>'PLAN 2018'!AG67</f>
        <v>55999.999999999993</v>
      </c>
      <c r="H80" s="67">
        <v>0</v>
      </c>
      <c r="I80" s="67">
        <v>0</v>
      </c>
      <c r="J80" s="67">
        <v>0</v>
      </c>
      <c r="K80" s="67">
        <v>0</v>
      </c>
      <c r="L80" s="342"/>
      <c r="M80" s="68" t="s">
        <v>13</v>
      </c>
      <c r="N80" s="67">
        <f>G80</f>
        <v>55999.999999999993</v>
      </c>
      <c r="O80" s="67"/>
      <c r="P80" s="67">
        <v>0</v>
      </c>
      <c r="Q80" s="67">
        <v>0</v>
      </c>
      <c r="R80" s="67">
        <v>0</v>
      </c>
      <c r="S80" s="342"/>
      <c r="T80" s="68" t="s">
        <v>13</v>
      </c>
      <c r="U80" s="67" t="e">
        <f>G80-AB80-N80</f>
        <v>#REF!</v>
      </c>
      <c r="V80" s="67"/>
      <c r="W80" s="67">
        <v>0</v>
      </c>
      <c r="X80" s="67">
        <v>0</v>
      </c>
      <c r="Y80" s="67">
        <v>0</v>
      </c>
      <c r="Z80" s="342"/>
      <c r="AA80" s="68" t="s">
        <v>13</v>
      </c>
      <c r="AB80" s="67" t="e">
        <f>#REF!</f>
        <v>#REF!</v>
      </c>
      <c r="AC80" s="67"/>
      <c r="AD80" s="67">
        <v>0</v>
      </c>
      <c r="AE80" s="67">
        <v>0</v>
      </c>
      <c r="AF80" s="67">
        <v>0</v>
      </c>
      <c r="AH80" s="435" t="e">
        <f t="shared" si="18"/>
        <v>#REF!</v>
      </c>
      <c r="AI80" s="435">
        <f t="shared" si="18"/>
        <v>0</v>
      </c>
      <c r="AJ80" s="435">
        <f t="shared" si="18"/>
        <v>0</v>
      </c>
      <c r="AK80" s="435">
        <f t="shared" si="18"/>
        <v>0</v>
      </c>
      <c r="AL80" s="435">
        <f t="shared" si="39"/>
        <v>0</v>
      </c>
      <c r="AM80" s="444"/>
    </row>
    <row r="81" spans="1:44" s="98" customFormat="1" outlineLevel="1">
      <c r="A81" s="70">
        <v>9800</v>
      </c>
      <c r="B81" s="71" t="s">
        <v>124</v>
      </c>
      <c r="C81" s="72">
        <f>'PLAN 2018'!C68</f>
        <v>3167856.9816666362</v>
      </c>
      <c r="D81" s="72">
        <f>'PLAN 2018'!D68</f>
        <v>3382843.3161277836</v>
      </c>
      <c r="E81" s="72">
        <f>'PLAN 2018'!E68</f>
        <v>3478910.9584888965</v>
      </c>
      <c r="F81" s="72">
        <f t="shared" ref="F81:I81" si="224">F77-F79+F80</f>
        <v>3531965.5585248112</v>
      </c>
      <c r="G81" s="72">
        <f t="shared" si="224"/>
        <v>1422795.8415099643</v>
      </c>
      <c r="H81" s="72">
        <f t="shared" si="224"/>
        <v>12826045.791528102</v>
      </c>
      <c r="I81" s="72">
        <f t="shared" si="224"/>
        <v>12826045.791528102</v>
      </c>
      <c r="J81" s="72">
        <f t="shared" ref="J81:K81" si="225">J77-J79+J80</f>
        <v>12826045.791528102</v>
      </c>
      <c r="K81" s="72">
        <f t="shared" si="225"/>
        <v>12826045.791528102</v>
      </c>
      <c r="L81" s="339"/>
      <c r="M81" s="71" t="s">
        <v>124</v>
      </c>
      <c r="N81" s="72" t="e">
        <f t="shared" ref="N81:R81" si="226">N77-N79+N80</f>
        <v>#REF!</v>
      </c>
      <c r="O81" s="72" t="e">
        <f t="shared" si="226"/>
        <v>#REF!</v>
      </c>
      <c r="P81" s="72" t="e">
        <f t="shared" si="226"/>
        <v>#REF!</v>
      </c>
      <c r="Q81" s="72" t="e">
        <f t="shared" si="226"/>
        <v>#REF!</v>
      </c>
      <c r="R81" s="72" t="e">
        <f t="shared" si="226"/>
        <v>#REF!</v>
      </c>
      <c r="S81" s="339"/>
      <c r="T81" s="71" t="s">
        <v>124</v>
      </c>
      <c r="U81" s="72" t="e">
        <f t="shared" ref="U81:Y81" si="227">U77-U79+U80</f>
        <v>#REF!</v>
      </c>
      <c r="V81" s="72" t="e">
        <f t="shared" si="227"/>
        <v>#REF!</v>
      </c>
      <c r="W81" s="72" t="e">
        <f t="shared" si="227"/>
        <v>#REF!</v>
      </c>
      <c r="X81" s="72" t="e">
        <f t="shared" si="227"/>
        <v>#REF!</v>
      </c>
      <c r="Y81" s="72" t="e">
        <f t="shared" si="227"/>
        <v>#REF!</v>
      </c>
      <c r="Z81" s="339"/>
      <c r="AA81" s="71" t="s">
        <v>124</v>
      </c>
      <c r="AB81" s="72" t="e">
        <f t="shared" ref="AB81:AF81" si="228">AB77-AB79+AB80</f>
        <v>#REF!</v>
      </c>
      <c r="AC81" s="72" t="e">
        <f t="shared" si="228"/>
        <v>#REF!</v>
      </c>
      <c r="AD81" s="72" t="e">
        <f t="shared" si="228"/>
        <v>#REF!</v>
      </c>
      <c r="AE81" s="72" t="e">
        <f t="shared" si="228"/>
        <v>#REF!</v>
      </c>
      <c r="AF81" s="72" t="e">
        <f t="shared" si="228"/>
        <v>#REF!</v>
      </c>
      <c r="AH81" s="435" t="e">
        <f t="shared" si="18"/>
        <v>#REF!</v>
      </c>
      <c r="AI81" s="435" t="e">
        <f t="shared" si="18"/>
        <v>#REF!</v>
      </c>
      <c r="AJ81" s="435" t="e">
        <f t="shared" si="18"/>
        <v>#REF!</v>
      </c>
      <c r="AK81" s="435" t="e">
        <f t="shared" si="18"/>
        <v>#REF!</v>
      </c>
      <c r="AL81" s="435" t="e">
        <f t="shared" si="39"/>
        <v>#REF!</v>
      </c>
      <c r="AM81" s="444"/>
    </row>
    <row r="82" spans="1:44" s="106" customFormat="1" ht="26.1" customHeight="1" outlineLevel="1">
      <c r="A82" s="73">
        <v>7100</v>
      </c>
      <c r="B82" s="74" t="s">
        <v>3</v>
      </c>
      <c r="C82" s="75">
        <f>'PLAN 2018'!C69</f>
        <v>633571.39633332728</v>
      </c>
      <c r="D82" s="75">
        <f>'PLAN 2018'!D69</f>
        <v>676568.66322555672</v>
      </c>
      <c r="E82" s="75">
        <f>'PLAN 2018'!E69</f>
        <v>695782.19169777934</v>
      </c>
      <c r="F82" s="75">
        <f>'PLAN 2018'!S69</f>
        <v>706393.11170496151</v>
      </c>
      <c r="G82" s="75">
        <f>'PLAN 2018'!AG69</f>
        <v>284559.16830199189</v>
      </c>
      <c r="H82" s="75">
        <f>(H81-H80)*20.8%</f>
        <v>2667817.5246378453</v>
      </c>
      <c r="I82" s="75">
        <f t="shared" ref="I82:K82" si="229">I81*20.8%</f>
        <v>2667817.5246378453</v>
      </c>
      <c r="J82" s="75">
        <f t="shared" si="229"/>
        <v>2667817.5246378453</v>
      </c>
      <c r="K82" s="75">
        <f t="shared" si="229"/>
        <v>2667817.5246378453</v>
      </c>
      <c r="L82" s="343"/>
      <c r="M82" s="74" t="s">
        <v>3</v>
      </c>
      <c r="N82" s="75" t="e">
        <f>N81*'PLAN 2018'!$AG$76</f>
        <v>#REF!</v>
      </c>
      <c r="O82" s="75" t="e">
        <f>(O81-O80)*20.8%</f>
        <v>#REF!</v>
      </c>
      <c r="P82" s="75" t="e">
        <f t="shared" ref="P82:R82" si="230">P81*20.8%</f>
        <v>#REF!</v>
      </c>
      <c r="Q82" s="75" t="e">
        <f t="shared" si="230"/>
        <v>#REF!</v>
      </c>
      <c r="R82" s="75" t="e">
        <f t="shared" si="230"/>
        <v>#REF!</v>
      </c>
      <c r="S82" s="343"/>
      <c r="T82" s="74" t="s">
        <v>3</v>
      </c>
      <c r="U82" s="75" t="e">
        <f>U81*'PLAN 2018'!$AG$76</f>
        <v>#REF!</v>
      </c>
      <c r="V82" s="75" t="e">
        <f>(V81-V80)*20.8%</f>
        <v>#REF!</v>
      </c>
      <c r="W82" s="75" t="e">
        <f t="shared" ref="W82:Y82" si="231">W81*20.8%</f>
        <v>#REF!</v>
      </c>
      <c r="X82" s="75" t="e">
        <f t="shared" si="231"/>
        <v>#REF!</v>
      </c>
      <c r="Y82" s="75" t="e">
        <f t="shared" si="231"/>
        <v>#REF!</v>
      </c>
      <c r="Z82" s="343"/>
      <c r="AA82" s="74" t="s">
        <v>3</v>
      </c>
      <c r="AB82" s="75" t="e">
        <f>AB81*'PLAN 2018'!$AG$76</f>
        <v>#REF!</v>
      </c>
      <c r="AC82" s="75" t="e">
        <f>(AC81-AC80)*20.8%</f>
        <v>#REF!</v>
      </c>
      <c r="AD82" s="75" t="e">
        <f t="shared" ref="AD82:AF82" si="232">AD81*20.8%</f>
        <v>#REF!</v>
      </c>
      <c r="AE82" s="75" t="e">
        <f t="shared" si="232"/>
        <v>#REF!</v>
      </c>
      <c r="AF82" s="75" t="e">
        <f t="shared" si="232"/>
        <v>#REF!</v>
      </c>
      <c r="AH82" s="435" t="e">
        <f t="shared" si="18"/>
        <v>#REF!</v>
      </c>
      <c r="AI82" s="435" t="e">
        <f t="shared" si="18"/>
        <v>#REF!</v>
      </c>
      <c r="AJ82" s="435" t="e">
        <f t="shared" si="18"/>
        <v>#REF!</v>
      </c>
      <c r="AK82" s="435" t="e">
        <f t="shared" si="18"/>
        <v>#REF!</v>
      </c>
      <c r="AL82" s="435" t="e">
        <f t="shared" si="39"/>
        <v>#REF!</v>
      </c>
      <c r="AM82" s="444"/>
    </row>
    <row r="83" spans="1:44" s="98" customFormat="1">
      <c r="A83" s="76">
        <v>9900</v>
      </c>
      <c r="B83" s="77" t="s">
        <v>125</v>
      </c>
      <c r="C83" s="78">
        <f>'PLAN 2018'!C70</f>
        <v>2534285.5853333091</v>
      </c>
      <c r="D83" s="78">
        <f>'PLAN 2018'!D70</f>
        <v>2706274.6529022269</v>
      </c>
      <c r="E83" s="78">
        <f>'PLAN 2018'!E70</f>
        <v>2783128.7667911174</v>
      </c>
      <c r="F83" s="78">
        <f t="shared" ref="F83:I83" si="233">F81-F82</f>
        <v>2825572.4468198498</v>
      </c>
      <c r="G83" s="78">
        <f t="shared" si="233"/>
        <v>1138236.6732079724</v>
      </c>
      <c r="H83" s="78">
        <f t="shared" si="233"/>
        <v>10158228.266890258</v>
      </c>
      <c r="I83" s="78">
        <f t="shared" si="233"/>
        <v>10158228.266890258</v>
      </c>
      <c r="J83" s="78">
        <f t="shared" ref="J83:K83" si="234">J81-J82</f>
        <v>10158228.266890258</v>
      </c>
      <c r="K83" s="78">
        <f t="shared" si="234"/>
        <v>10158228.266890258</v>
      </c>
      <c r="L83" s="339"/>
      <c r="M83" s="77" t="s">
        <v>125</v>
      </c>
      <c r="N83" s="78" t="e">
        <f t="shared" ref="N83:R83" si="235">N81-N82</f>
        <v>#REF!</v>
      </c>
      <c r="O83" s="78" t="e">
        <f t="shared" si="235"/>
        <v>#REF!</v>
      </c>
      <c r="P83" s="78" t="e">
        <f t="shared" si="235"/>
        <v>#REF!</v>
      </c>
      <c r="Q83" s="78" t="e">
        <f t="shared" si="235"/>
        <v>#REF!</v>
      </c>
      <c r="R83" s="78" t="e">
        <f t="shared" si="235"/>
        <v>#REF!</v>
      </c>
      <c r="S83" s="339"/>
      <c r="T83" s="77" t="s">
        <v>125</v>
      </c>
      <c r="U83" s="78" t="e">
        <f t="shared" ref="U83:Y83" si="236">U81-U82</f>
        <v>#REF!</v>
      </c>
      <c r="V83" s="78" t="e">
        <f t="shared" si="236"/>
        <v>#REF!</v>
      </c>
      <c r="W83" s="78" t="e">
        <f t="shared" si="236"/>
        <v>#REF!</v>
      </c>
      <c r="X83" s="78" t="e">
        <f t="shared" si="236"/>
        <v>#REF!</v>
      </c>
      <c r="Y83" s="78" t="e">
        <f t="shared" si="236"/>
        <v>#REF!</v>
      </c>
      <c r="Z83" s="339"/>
      <c r="AA83" s="77" t="s">
        <v>125</v>
      </c>
      <c r="AB83" s="78" t="e">
        <f t="shared" ref="AB83:AF83" si="237">AB81-AB82</f>
        <v>#REF!</v>
      </c>
      <c r="AC83" s="78" t="e">
        <f t="shared" si="237"/>
        <v>#REF!</v>
      </c>
      <c r="AD83" s="78" t="e">
        <f t="shared" si="237"/>
        <v>#REF!</v>
      </c>
      <c r="AE83" s="78" t="e">
        <f t="shared" si="237"/>
        <v>#REF!</v>
      </c>
      <c r="AF83" s="78" t="e">
        <f t="shared" si="237"/>
        <v>#REF!</v>
      </c>
      <c r="AH83" s="435" t="e">
        <f t="shared" ref="AH83:AL146" si="238">G83-SUM(N83,U83,AB83)</f>
        <v>#REF!</v>
      </c>
      <c r="AI83" s="435" t="e">
        <f t="shared" si="238"/>
        <v>#REF!</v>
      </c>
      <c r="AJ83" s="435" t="e">
        <f t="shared" si="238"/>
        <v>#REF!</v>
      </c>
      <c r="AK83" s="435" t="e">
        <f t="shared" si="238"/>
        <v>#REF!</v>
      </c>
      <c r="AL83" s="435" t="e">
        <f t="shared" si="238"/>
        <v>#REF!</v>
      </c>
      <c r="AM83" s="444"/>
    </row>
    <row r="84" spans="1:44" s="102" customFormat="1" ht="15.75" thickBot="1">
      <c r="A84" s="79">
        <v>9990</v>
      </c>
      <c r="B84" s="65" t="s">
        <v>126</v>
      </c>
      <c r="C84" s="80">
        <f>'PLAN 2018'!C71</f>
        <v>0.13750964476148136</v>
      </c>
      <c r="D84" s="80">
        <f>'PLAN 2018'!D71</f>
        <v>0.13279371731562359</v>
      </c>
      <c r="E84" s="80">
        <f>'PLAN 2018'!E71</f>
        <v>0.1247843949167155</v>
      </c>
      <c r="F84" s="80">
        <f t="shared" ref="F84:K84" si="239">F83/F13</f>
        <v>0.11580503850184834</v>
      </c>
      <c r="G84" s="80">
        <f t="shared" si="239"/>
        <v>4.4980827001366644E-2</v>
      </c>
      <c r="H84" s="80">
        <f t="shared" si="239"/>
        <v>0.40143277674018174</v>
      </c>
      <c r="I84" s="80">
        <f t="shared" si="239"/>
        <v>0.40143277674018174</v>
      </c>
      <c r="J84" s="80">
        <f t="shared" si="239"/>
        <v>0.40143277674018174</v>
      </c>
      <c r="K84" s="80">
        <f t="shared" si="239"/>
        <v>0.40143277674018174</v>
      </c>
      <c r="L84" s="340"/>
      <c r="M84" s="65" t="s">
        <v>126</v>
      </c>
      <c r="N84" s="80" t="e">
        <f>N83/N13</f>
        <v>#REF!</v>
      </c>
      <c r="O84" s="80" t="e">
        <f>O83/O13</f>
        <v>#REF!</v>
      </c>
      <c r="P84" s="80" t="e">
        <f>P83/P13</f>
        <v>#REF!</v>
      </c>
      <c r="Q84" s="80" t="e">
        <f>Q83/Q13</f>
        <v>#REF!</v>
      </c>
      <c r="R84" s="80" t="e">
        <f>R83/R13</f>
        <v>#REF!</v>
      </c>
      <c r="S84" s="340"/>
      <c r="T84" s="65" t="s">
        <v>126</v>
      </c>
      <c r="U84" s="80" t="e">
        <f>U83/U13</f>
        <v>#REF!</v>
      </c>
      <c r="V84" s="80" t="e">
        <f>V83/V13</f>
        <v>#REF!</v>
      </c>
      <c r="W84" s="80" t="e">
        <f>W83/W13</f>
        <v>#REF!</v>
      </c>
      <c r="X84" s="80" t="e">
        <f>X83/X13</f>
        <v>#REF!</v>
      </c>
      <c r="Y84" s="80" t="e">
        <f>Y83/Y13</f>
        <v>#REF!</v>
      </c>
      <c r="Z84" s="340"/>
      <c r="AA84" s="65" t="s">
        <v>126</v>
      </c>
      <c r="AB84" s="80" t="e">
        <f>AB83/AB13</f>
        <v>#REF!</v>
      </c>
      <c r="AC84" s="80" t="e">
        <f>AC83/AC13</f>
        <v>#REF!</v>
      </c>
      <c r="AD84" s="80" t="e">
        <f>AD83/AD13</f>
        <v>#REF!</v>
      </c>
      <c r="AE84" s="80" t="e">
        <f>AE83/AE13</f>
        <v>#REF!</v>
      </c>
      <c r="AF84" s="80" t="e">
        <f>AF83/AF13</f>
        <v>#REF!</v>
      </c>
      <c r="AH84" s="435"/>
      <c r="AI84" s="435"/>
      <c r="AJ84" s="435"/>
      <c r="AK84" s="435"/>
      <c r="AL84" s="435"/>
      <c r="AM84" s="444"/>
      <c r="AN84" s="417" t="s">
        <v>427</v>
      </c>
      <c r="AO84" s="417"/>
      <c r="AP84" s="417"/>
      <c r="AQ84" s="417"/>
      <c r="AR84" s="417"/>
    </row>
    <row r="85" spans="1:44">
      <c r="C85" s="88"/>
      <c r="D85" s="88"/>
      <c r="E85" s="88"/>
      <c r="AH85" s="435">
        <f t="shared" si="238"/>
        <v>0</v>
      </c>
      <c r="AI85" s="435">
        <f t="shared" si="238"/>
        <v>0</v>
      </c>
      <c r="AJ85" s="435">
        <f t="shared" si="238"/>
        <v>0</v>
      </c>
      <c r="AK85" s="435">
        <f t="shared" si="238"/>
        <v>0</v>
      </c>
      <c r="AL85" s="435">
        <f t="shared" si="238"/>
        <v>0</v>
      </c>
      <c r="AM85" s="444"/>
    </row>
    <row r="86" spans="1:44" ht="19.5" customHeight="1">
      <c r="B86" s="37" t="s">
        <v>267</v>
      </c>
      <c r="C86" s="37"/>
      <c r="D86" s="88"/>
      <c r="E86" s="88"/>
      <c r="M86" s="37" t="s">
        <v>267</v>
      </c>
      <c r="T86" s="37" t="s">
        <v>267</v>
      </c>
      <c r="AA86" s="37" t="s">
        <v>267</v>
      </c>
      <c r="AH86" s="435">
        <f t="shared" si="238"/>
        <v>0</v>
      </c>
      <c r="AI86" s="435">
        <f t="shared" si="238"/>
        <v>0</v>
      </c>
      <c r="AJ86" s="435">
        <f t="shared" si="238"/>
        <v>0</v>
      </c>
      <c r="AK86" s="435">
        <f t="shared" si="238"/>
        <v>0</v>
      </c>
      <c r="AL86" s="435">
        <f t="shared" si="238"/>
        <v>0</v>
      </c>
      <c r="AM86" s="444"/>
    </row>
    <row r="87" spans="1:44" ht="24" customHeight="1" outlineLevel="1">
      <c r="B87" s="46" t="s">
        <v>268</v>
      </c>
      <c r="C87" s="88"/>
      <c r="D87" s="88"/>
      <c r="E87" s="88"/>
      <c r="F87" s="96"/>
      <c r="G87" s="96">
        <f>1.21*G13</f>
        <v>30618965.154638026</v>
      </c>
      <c r="H87" s="96">
        <f>1.21*H13</f>
        <v>30618965.154638026</v>
      </c>
      <c r="I87" s="96">
        <f>1.21*I13</f>
        <v>30618965.154638026</v>
      </c>
      <c r="J87" s="96">
        <f>1.21*J13</f>
        <v>30618965.154638026</v>
      </c>
      <c r="K87" s="96">
        <f>1.21*K13</f>
        <v>30618965.154638026</v>
      </c>
      <c r="M87" s="46" t="s">
        <v>268</v>
      </c>
      <c r="N87" s="96" t="e">
        <f>1.21*N13</f>
        <v>#REF!</v>
      </c>
      <c r="O87" s="96" t="e">
        <f>1.21*O13</f>
        <v>#REF!</v>
      </c>
      <c r="P87" s="96" t="e">
        <f>1.21*P13</f>
        <v>#REF!</v>
      </c>
      <c r="Q87" s="96" t="e">
        <f>1.21*Q13</f>
        <v>#REF!</v>
      </c>
      <c r="R87" s="96" t="e">
        <f>1.21*R13</f>
        <v>#REF!</v>
      </c>
      <c r="T87" s="46" t="s">
        <v>268</v>
      </c>
      <c r="U87" s="96">
        <f>1.21*U13</f>
        <v>28835104.145451736</v>
      </c>
      <c r="V87" s="96">
        <f>1.21*V13</f>
        <v>35819288.452453025</v>
      </c>
      <c r="W87" s="96">
        <f>1.21*W13</f>
        <v>41649810.327794805</v>
      </c>
      <c r="X87" s="96">
        <f>1.21*X13</f>
        <v>45814791.360574283</v>
      </c>
      <c r="Y87" s="96">
        <f>1.21*Y13</f>
        <v>50396270.496631712</v>
      </c>
      <c r="AA87" s="46" t="s">
        <v>268</v>
      </c>
      <c r="AB87" s="96">
        <f>1.21*AB13</f>
        <v>1052488.6091862898</v>
      </c>
      <c r="AC87" s="96">
        <f>1.21*AC13</f>
        <v>1052488.6091862898</v>
      </c>
      <c r="AD87" s="96">
        <f>1.21*AD13</f>
        <v>1052488.6091862898</v>
      </c>
      <c r="AE87" s="96">
        <f>1.21*AE13</f>
        <v>1052488.6091862898</v>
      </c>
      <c r="AF87" s="96">
        <f>1.21*AF13</f>
        <v>1052488.6091862898</v>
      </c>
      <c r="AH87" s="435" t="e">
        <f t="shared" si="238"/>
        <v>#REF!</v>
      </c>
      <c r="AI87" s="435" t="e">
        <f t="shared" si="238"/>
        <v>#REF!</v>
      </c>
      <c r="AJ87" s="435" t="e">
        <f t="shared" si="238"/>
        <v>#REF!</v>
      </c>
      <c r="AK87" s="435" t="e">
        <f t="shared" si="238"/>
        <v>#REF!</v>
      </c>
      <c r="AL87" s="435" t="e">
        <f t="shared" si="238"/>
        <v>#REF!</v>
      </c>
      <c r="AM87" s="444"/>
    </row>
    <row r="88" spans="1:44" outlineLevel="1">
      <c r="B88" s="46" t="s">
        <v>269</v>
      </c>
      <c r="C88" s="88"/>
      <c r="D88" s="88"/>
      <c r="E88" s="88"/>
      <c r="F88" s="96"/>
      <c r="G88" s="96">
        <f>-1.21*SUM(G14,G21)</f>
        <v>-1795640</v>
      </c>
      <c r="H88" s="96">
        <f>-1.21*SUM(H14,H21)</f>
        <v>0</v>
      </c>
      <c r="I88" s="96">
        <f>-1.21*SUM(I14,I21)</f>
        <v>0</v>
      </c>
      <c r="J88" s="96">
        <f>-1.21*SUM(J14,J21)</f>
        <v>0</v>
      </c>
      <c r="K88" s="96">
        <f>-1.21*SUM(K14,K21)</f>
        <v>0</v>
      </c>
      <c r="M88" s="46" t="s">
        <v>269</v>
      </c>
      <c r="N88" s="96">
        <f>-1.21*SUM(N14,N21)</f>
        <v>0</v>
      </c>
      <c r="O88" s="96">
        <f>-1.21*SUM(O14,O21)</f>
        <v>0</v>
      </c>
      <c r="P88" s="96">
        <f>-1.21*SUM(P14,P21)</f>
        <v>0</v>
      </c>
      <c r="Q88" s="96">
        <f>-1.21*SUM(Q14,Q21)</f>
        <v>0</v>
      </c>
      <c r="R88" s="96">
        <f>-1.21*SUM(R14,R21)</f>
        <v>0</v>
      </c>
      <c r="T88" s="46" t="s">
        <v>269</v>
      </c>
      <c r="U88" s="96">
        <f>-1.21*SUM(U14,U21)</f>
        <v>-1795640</v>
      </c>
      <c r="V88" s="96">
        <f>-1.21*SUM(V14,V21)</f>
        <v>0</v>
      </c>
      <c r="W88" s="96">
        <f>-1.21*SUM(W14,W21)</f>
        <v>0</v>
      </c>
      <c r="X88" s="96">
        <f>-1.21*SUM(X14,X21)</f>
        <v>0</v>
      </c>
      <c r="Y88" s="96">
        <f>-1.21*SUM(Y14,Y21)</f>
        <v>0</v>
      </c>
      <c r="AA88" s="46" t="s">
        <v>269</v>
      </c>
      <c r="AB88" s="96">
        <f>-1.21*SUM(AB14,AB21)</f>
        <v>0</v>
      </c>
      <c r="AC88" s="96">
        <f>-1.21*SUM(AC14,AC21)</f>
        <v>0</v>
      </c>
      <c r="AD88" s="96">
        <f>-1.21*SUM(AD14,AD21)</f>
        <v>0</v>
      </c>
      <c r="AE88" s="96">
        <f>-1.21*SUM(AE14,AE21)</f>
        <v>0</v>
      </c>
      <c r="AF88" s="96">
        <f>-1.21*SUM(AF14,AF21)</f>
        <v>0</v>
      </c>
      <c r="AH88" s="435">
        <f t="shared" si="238"/>
        <v>0</v>
      </c>
      <c r="AI88" s="435">
        <f t="shared" si="238"/>
        <v>0</v>
      </c>
      <c r="AJ88" s="435">
        <f t="shared" si="238"/>
        <v>0</v>
      </c>
      <c r="AK88" s="435">
        <f t="shared" si="238"/>
        <v>0</v>
      </c>
      <c r="AL88" s="435">
        <f t="shared" si="238"/>
        <v>0</v>
      </c>
      <c r="AM88" s="444"/>
    </row>
    <row r="89" spans="1:44" outlineLevel="1">
      <c r="B89" s="46" t="s">
        <v>271</v>
      </c>
      <c r="C89" s="88"/>
      <c r="D89" s="88"/>
      <c r="E89" s="88"/>
      <c r="F89" s="96"/>
      <c r="G89" s="96">
        <f>-1.21*SUM(G16,G23)</f>
        <v>-513040</v>
      </c>
      <c r="H89" s="96">
        <f>-1.21*SUM(H16,H23)</f>
        <v>0</v>
      </c>
      <c r="I89" s="96">
        <f>-1.21*SUM(I16,I23)</f>
        <v>0</v>
      </c>
      <c r="J89" s="96">
        <f>-1.21*SUM(J16,J23)</f>
        <v>0</v>
      </c>
      <c r="K89" s="96">
        <f>-1.21*SUM(K16,K23)</f>
        <v>0</v>
      </c>
      <c r="M89" s="46" t="s">
        <v>271</v>
      </c>
      <c r="N89" s="96">
        <f>-1.21*SUM(N16,N23)</f>
        <v>0</v>
      </c>
      <c r="O89" s="96">
        <f>-1.21*SUM(O16,O23)</f>
        <v>0</v>
      </c>
      <c r="P89" s="96">
        <f>-1.21*SUM(P16,P23)</f>
        <v>0</v>
      </c>
      <c r="Q89" s="96">
        <f>-1.21*SUM(Q16,Q23)</f>
        <v>0</v>
      </c>
      <c r="R89" s="96">
        <f>-1.21*SUM(R16,R23)</f>
        <v>0</v>
      </c>
      <c r="T89" s="46" t="s">
        <v>271</v>
      </c>
      <c r="U89" s="96">
        <f>-1.21*SUM(U16,U23)</f>
        <v>-513040</v>
      </c>
      <c r="V89" s="96">
        <f>-1.21*SUM(V16,V23)</f>
        <v>0</v>
      </c>
      <c r="W89" s="96">
        <f>-1.21*SUM(W16,W23)</f>
        <v>0</v>
      </c>
      <c r="X89" s="96">
        <f>-1.21*SUM(X16,X23)</f>
        <v>0</v>
      </c>
      <c r="Y89" s="96">
        <f>-1.21*SUM(Y16,Y23)</f>
        <v>0</v>
      </c>
      <c r="AA89" s="46" t="s">
        <v>271</v>
      </c>
      <c r="AB89" s="96">
        <f>-1.21*SUM(AB16,AB23)</f>
        <v>0</v>
      </c>
      <c r="AC89" s="96">
        <f>-1.21*SUM(AC16,AC23)</f>
        <v>0</v>
      </c>
      <c r="AD89" s="96">
        <f>-1.21*SUM(AD16,AD23)</f>
        <v>0</v>
      </c>
      <c r="AE89" s="96">
        <f>-1.21*SUM(AE16,AE23)</f>
        <v>0</v>
      </c>
      <c r="AF89" s="96">
        <f>-1.21*SUM(AF16,AF23)</f>
        <v>0</v>
      </c>
      <c r="AH89" s="435">
        <f t="shared" si="238"/>
        <v>0</v>
      </c>
      <c r="AI89" s="435">
        <f t="shared" si="238"/>
        <v>0</v>
      </c>
      <c r="AJ89" s="435">
        <f t="shared" si="238"/>
        <v>0</v>
      </c>
      <c r="AK89" s="435">
        <f t="shared" si="238"/>
        <v>0</v>
      </c>
      <c r="AL89" s="435">
        <f t="shared" ref="AL89:AL146" si="240">K89-SUM(R89,Y89,AF89)</f>
        <v>0</v>
      </c>
      <c r="AM89" s="444"/>
    </row>
    <row r="90" spans="1:44" outlineLevel="1">
      <c r="B90" s="46" t="s">
        <v>270</v>
      </c>
      <c r="C90" s="88"/>
      <c r="D90" s="88"/>
      <c r="E90" s="88"/>
      <c r="F90" s="96"/>
      <c r="G90" s="96">
        <f t="shared" ref="G90:K91" si="241">-1.21*G27</f>
        <v>-3177645.5035661231</v>
      </c>
      <c r="H90" s="96">
        <f t="shared" si="241"/>
        <v>-3177645.5035661226</v>
      </c>
      <c r="I90" s="96">
        <f t="shared" si="241"/>
        <v>-3177645.5035661226</v>
      </c>
      <c r="J90" s="96">
        <f t="shared" si="241"/>
        <v>-3177645.5035661226</v>
      </c>
      <c r="K90" s="96">
        <f t="shared" si="241"/>
        <v>-3177645.5035661226</v>
      </c>
      <c r="M90" s="46" t="s">
        <v>270</v>
      </c>
      <c r="N90" s="96">
        <f t="shared" ref="N90:R91" si="242">-1.21*N27</f>
        <v>0</v>
      </c>
      <c r="O90" s="96">
        <f t="shared" si="242"/>
        <v>0</v>
      </c>
      <c r="P90" s="96">
        <f t="shared" si="242"/>
        <v>0</v>
      </c>
      <c r="Q90" s="96">
        <f t="shared" si="242"/>
        <v>0</v>
      </c>
      <c r="R90" s="96">
        <f t="shared" si="242"/>
        <v>0</v>
      </c>
      <c r="T90" s="46" t="s">
        <v>270</v>
      </c>
      <c r="U90" s="96">
        <f t="shared" ref="U90:Y91" si="243">-1.21*U27</f>
        <v>-3177645.5035661231</v>
      </c>
      <c r="V90" s="96">
        <f t="shared" si="243"/>
        <v>-3495410.0539227356</v>
      </c>
      <c r="W90" s="96">
        <f t="shared" si="243"/>
        <v>-3844951.0593150095</v>
      </c>
      <c r="X90" s="96">
        <f t="shared" si="243"/>
        <v>-4229446.1652465109</v>
      </c>
      <c r="Y90" s="96">
        <f t="shared" si="243"/>
        <v>-4652390.7817711625</v>
      </c>
      <c r="AA90" s="46" t="s">
        <v>270</v>
      </c>
      <c r="AB90" s="96">
        <f t="shared" ref="AB90:AF91" si="244">-1.21*AB27</f>
        <v>0</v>
      </c>
      <c r="AC90" s="96">
        <f t="shared" si="244"/>
        <v>0</v>
      </c>
      <c r="AD90" s="96">
        <f t="shared" si="244"/>
        <v>0</v>
      </c>
      <c r="AE90" s="96">
        <f t="shared" si="244"/>
        <v>0</v>
      </c>
      <c r="AF90" s="96">
        <f t="shared" si="244"/>
        <v>0</v>
      </c>
      <c r="AH90" s="435">
        <f t="shared" si="238"/>
        <v>0</v>
      </c>
      <c r="AI90" s="435">
        <f t="shared" si="238"/>
        <v>317764.55035661301</v>
      </c>
      <c r="AJ90" s="435">
        <f t="shared" si="238"/>
        <v>667305.55574888689</v>
      </c>
      <c r="AK90" s="435">
        <f t="shared" si="238"/>
        <v>1051800.6616803883</v>
      </c>
      <c r="AL90" s="435">
        <f t="shared" si="240"/>
        <v>1474745.2782050399</v>
      </c>
      <c r="AM90" s="444"/>
    </row>
    <row r="91" spans="1:44" outlineLevel="1">
      <c r="B91" s="46" t="s">
        <v>272</v>
      </c>
      <c r="C91" s="88"/>
      <c r="D91" s="88"/>
      <c r="E91" s="88"/>
      <c r="F91" s="96"/>
      <c r="G91" s="96">
        <f t="shared" si="241"/>
        <v>-856725.72787763982</v>
      </c>
      <c r="H91" s="96">
        <f t="shared" si="241"/>
        <v>-856725.72787763982</v>
      </c>
      <c r="I91" s="96">
        <f t="shared" si="241"/>
        <v>-856725.72787763982</v>
      </c>
      <c r="J91" s="96">
        <f t="shared" si="241"/>
        <v>-856725.72787763982</v>
      </c>
      <c r="K91" s="96">
        <f t="shared" si="241"/>
        <v>-856725.72787763982</v>
      </c>
      <c r="M91" s="46" t="s">
        <v>272</v>
      </c>
      <c r="N91" s="96">
        <f t="shared" si="242"/>
        <v>0</v>
      </c>
      <c r="O91" s="96">
        <f t="shared" si="242"/>
        <v>0</v>
      </c>
      <c r="P91" s="96">
        <f t="shared" si="242"/>
        <v>0</v>
      </c>
      <c r="Q91" s="96">
        <f t="shared" si="242"/>
        <v>0</v>
      </c>
      <c r="R91" s="96">
        <f t="shared" si="242"/>
        <v>0</v>
      </c>
      <c r="T91" s="46" t="s">
        <v>272</v>
      </c>
      <c r="U91" s="96">
        <f t="shared" si="243"/>
        <v>0</v>
      </c>
      <c r="V91" s="96">
        <f t="shared" si="243"/>
        <v>0</v>
      </c>
      <c r="W91" s="96">
        <f t="shared" si="243"/>
        <v>0</v>
      </c>
      <c r="X91" s="96">
        <f t="shared" si="243"/>
        <v>0</v>
      </c>
      <c r="Y91" s="96">
        <f t="shared" si="243"/>
        <v>0</v>
      </c>
      <c r="AA91" s="46" t="s">
        <v>272</v>
      </c>
      <c r="AB91" s="96">
        <f t="shared" si="244"/>
        <v>-856725.72787763982</v>
      </c>
      <c r="AC91" s="96">
        <f t="shared" si="244"/>
        <v>-856725.72787763982</v>
      </c>
      <c r="AD91" s="96">
        <f t="shared" si="244"/>
        <v>-856725.72787763982</v>
      </c>
      <c r="AE91" s="96">
        <f t="shared" si="244"/>
        <v>-856725.72787763982</v>
      </c>
      <c r="AF91" s="96">
        <f t="shared" si="244"/>
        <v>-856725.72787763982</v>
      </c>
      <c r="AH91" s="435">
        <f t="shared" si="238"/>
        <v>0</v>
      </c>
      <c r="AI91" s="435">
        <f t="shared" si="238"/>
        <v>0</v>
      </c>
      <c r="AJ91" s="435">
        <f t="shared" si="238"/>
        <v>0</v>
      </c>
      <c r="AK91" s="435">
        <f t="shared" si="238"/>
        <v>0</v>
      </c>
      <c r="AL91" s="435">
        <f t="shared" si="240"/>
        <v>0</v>
      </c>
      <c r="AM91" s="444"/>
    </row>
    <row r="92" spans="1:44" outlineLevel="1">
      <c r="B92" s="46" t="s">
        <v>382</v>
      </c>
      <c r="C92" s="88"/>
      <c r="D92" s="88"/>
      <c r="E92" s="88"/>
      <c r="F92" s="96"/>
      <c r="G92" s="96">
        <f>-SUM(G15,G22,G65)</f>
        <v>-14381303.799999999</v>
      </c>
      <c r="H92" s="96">
        <f>-SUM(H15,H22,H65)</f>
        <v>-3969758</v>
      </c>
      <c r="I92" s="96">
        <f>-SUM(I15,I22,I65)</f>
        <v>-3969758</v>
      </c>
      <c r="J92" s="96">
        <f>-SUM(J15,J22,J65)</f>
        <v>-3969758</v>
      </c>
      <c r="K92" s="96">
        <f>-SUM(K15,K22,K65)</f>
        <v>-3969758</v>
      </c>
      <c r="M92" s="46" t="s">
        <v>382</v>
      </c>
      <c r="N92" s="96" t="e">
        <f>-SUM(N15,N22,N65)</f>
        <v>#REF!</v>
      </c>
      <c r="O92" s="96" t="e">
        <f>-SUM(O15,O22,O65)</f>
        <v>#REF!</v>
      </c>
      <c r="P92" s="96" t="e">
        <f>-SUM(P15,P22,P65)</f>
        <v>#REF!</v>
      </c>
      <c r="Q92" s="96" t="e">
        <f>-SUM(Q15,Q22,Q65)</f>
        <v>#REF!</v>
      </c>
      <c r="R92" s="96" t="e">
        <f>-SUM(R15,R22,R65)</f>
        <v>#REF!</v>
      </c>
      <c r="T92" s="46" t="s">
        <v>382</v>
      </c>
      <c r="U92" s="96" t="e">
        <f>-SUM(U15,U22,U65)</f>
        <v>#REF!</v>
      </c>
      <c r="V92" s="96" t="e">
        <f>-SUM(V15,V22,V65)</f>
        <v>#REF!</v>
      </c>
      <c r="W92" s="96" t="e">
        <f>-SUM(W15,W22,W65)</f>
        <v>#REF!</v>
      </c>
      <c r="X92" s="96" t="e">
        <f>-SUM(X15,X22,X65)</f>
        <v>#REF!</v>
      </c>
      <c r="Y92" s="96" t="e">
        <f>-SUM(Y15,Y22,Y65)</f>
        <v>#REF!</v>
      </c>
      <c r="AA92" s="46" t="s">
        <v>382</v>
      </c>
      <c r="AB92" s="96" t="e">
        <f>-SUM(AB15,AB22,AB65)</f>
        <v>#REF!</v>
      </c>
      <c r="AC92" s="96" t="e">
        <f>-SUM(AC15,AC22,AC65)</f>
        <v>#REF!</v>
      </c>
      <c r="AD92" s="96" t="e">
        <f>-SUM(AD15,AD22,AD65)</f>
        <v>#REF!</v>
      </c>
      <c r="AE92" s="96" t="e">
        <f>-SUM(AE15,AE22,AE65)</f>
        <v>#REF!</v>
      </c>
      <c r="AF92" s="96" t="e">
        <f>-SUM(AF15,AF22,AF65)</f>
        <v>#REF!</v>
      </c>
      <c r="AH92" s="435" t="e">
        <f t="shared" si="238"/>
        <v>#REF!</v>
      </c>
      <c r="AI92" s="435" t="e">
        <f t="shared" si="238"/>
        <v>#REF!</v>
      </c>
      <c r="AJ92" s="435" t="e">
        <f t="shared" si="238"/>
        <v>#REF!</v>
      </c>
      <c r="AK92" s="435" t="e">
        <f t="shared" si="238"/>
        <v>#REF!</v>
      </c>
      <c r="AL92" s="435" t="e">
        <f t="shared" si="240"/>
        <v>#REF!</v>
      </c>
      <c r="AM92" s="444"/>
    </row>
    <row r="93" spans="1:44" outlineLevel="1">
      <c r="B93" s="46" t="s">
        <v>14</v>
      </c>
      <c r="F93" s="96"/>
      <c r="G93" s="96">
        <f>-1.21*SUM(G44:G47)</f>
        <v>-896923.995</v>
      </c>
      <c r="H93" s="96">
        <f t="shared" ref="H93:K93" si="245">-1.21*SUM(H44:H47)</f>
        <v>222326.005</v>
      </c>
      <c r="I93" s="96">
        <f t="shared" si="245"/>
        <v>222326.005</v>
      </c>
      <c r="J93" s="96">
        <f t="shared" si="245"/>
        <v>222326.005</v>
      </c>
      <c r="K93" s="96">
        <f t="shared" si="245"/>
        <v>222326.005</v>
      </c>
      <c r="M93" s="46" t="s">
        <v>14</v>
      </c>
      <c r="N93" s="96">
        <f>-1.21*SUM(N44:N47)</f>
        <v>0</v>
      </c>
      <c r="O93" s="96">
        <f t="shared" ref="O93:R93" si="246">-1.21*SUM(O44:O47)</f>
        <v>0</v>
      </c>
      <c r="P93" s="96">
        <f t="shared" si="246"/>
        <v>0</v>
      </c>
      <c r="Q93" s="96">
        <f t="shared" si="246"/>
        <v>0</v>
      </c>
      <c r="R93" s="96">
        <f t="shared" si="246"/>
        <v>0</v>
      </c>
      <c r="T93" s="46" t="s">
        <v>14</v>
      </c>
      <c r="U93" s="96" t="e">
        <f>-1.21*SUM(U44:U47)</f>
        <v>#REF!</v>
      </c>
      <c r="V93" s="96" t="e">
        <f t="shared" ref="V93:Y93" si="247">-1.21*SUM(V44:V47)</f>
        <v>#REF!</v>
      </c>
      <c r="W93" s="96" t="e">
        <f t="shared" si="247"/>
        <v>#REF!</v>
      </c>
      <c r="X93" s="96" t="e">
        <f t="shared" si="247"/>
        <v>#REF!</v>
      </c>
      <c r="Y93" s="96" t="e">
        <f t="shared" si="247"/>
        <v>#REF!</v>
      </c>
      <c r="AA93" s="46" t="s">
        <v>14</v>
      </c>
      <c r="AB93" s="96" t="e">
        <f>-1.21*SUM(AB44:AB47)</f>
        <v>#REF!</v>
      </c>
      <c r="AC93" s="96" t="e">
        <f t="shared" ref="AC93:AF93" si="248">-1.21*SUM(AC44:AC47)</f>
        <v>#REF!</v>
      </c>
      <c r="AD93" s="96" t="e">
        <f t="shared" si="248"/>
        <v>#REF!</v>
      </c>
      <c r="AE93" s="96" t="e">
        <f t="shared" si="248"/>
        <v>#REF!</v>
      </c>
      <c r="AF93" s="96" t="e">
        <f t="shared" si="248"/>
        <v>#REF!</v>
      </c>
      <c r="AH93" s="435" t="e">
        <f t="shared" si="238"/>
        <v>#REF!</v>
      </c>
      <c r="AI93" s="435" t="e">
        <f t="shared" si="238"/>
        <v>#REF!</v>
      </c>
      <c r="AJ93" s="435" t="e">
        <f t="shared" si="238"/>
        <v>#REF!</v>
      </c>
      <c r="AK93" s="435" t="e">
        <f t="shared" si="238"/>
        <v>#REF!</v>
      </c>
      <c r="AL93" s="435" t="e">
        <f t="shared" si="240"/>
        <v>#REF!</v>
      </c>
      <c r="AM93" s="444"/>
    </row>
    <row r="94" spans="1:44" outlineLevel="1">
      <c r="B94" s="43" t="s">
        <v>112</v>
      </c>
      <c r="F94" s="96"/>
      <c r="G94" s="96">
        <f>-1.21*SUM(G51:G57)</f>
        <v>-232536.12717499997</v>
      </c>
      <c r="H94" s="96">
        <f t="shared" ref="H94:K94" si="249">-1.21*SUM(H51:H57)</f>
        <v>-232536.12717499997</v>
      </c>
      <c r="I94" s="96">
        <f t="shared" si="249"/>
        <v>-232536.12717499997</v>
      </c>
      <c r="J94" s="96">
        <f t="shared" si="249"/>
        <v>-232536.12717499997</v>
      </c>
      <c r="K94" s="96">
        <f t="shared" si="249"/>
        <v>-232536.12717499997</v>
      </c>
      <c r="M94" s="43" t="s">
        <v>112</v>
      </c>
      <c r="N94" s="96">
        <f>-1.21*SUM(N51:N57)</f>
        <v>-232536.12717499997</v>
      </c>
      <c r="O94" s="96">
        <f t="shared" ref="O94:R94" si="250">-1.21*SUM(O51:O57)</f>
        <v>-232536.12717499997</v>
      </c>
      <c r="P94" s="96">
        <f t="shared" si="250"/>
        <v>-232536.12717499997</v>
      </c>
      <c r="Q94" s="96">
        <f t="shared" si="250"/>
        <v>-232536.12717499997</v>
      </c>
      <c r="R94" s="96">
        <f t="shared" si="250"/>
        <v>-232536.12717499997</v>
      </c>
      <c r="T94" s="43" t="s">
        <v>112</v>
      </c>
      <c r="U94" s="96">
        <f>-1.21*SUM(U51:U57)</f>
        <v>0</v>
      </c>
      <c r="V94" s="96">
        <f t="shared" ref="V94:Y94" si="251">-1.21*SUM(V51:V57)</f>
        <v>0</v>
      </c>
      <c r="W94" s="96">
        <f t="shared" si="251"/>
        <v>0</v>
      </c>
      <c r="X94" s="96">
        <f t="shared" si="251"/>
        <v>0</v>
      </c>
      <c r="Y94" s="96">
        <f t="shared" si="251"/>
        <v>0</v>
      </c>
      <c r="AA94" s="43" t="s">
        <v>112</v>
      </c>
      <c r="AB94" s="96">
        <f>-1.21*SUM(AB51:AB57)</f>
        <v>0</v>
      </c>
      <c r="AC94" s="96">
        <f t="shared" ref="AC94:AF94" si="252">-1.21*SUM(AC51:AC57)</f>
        <v>0</v>
      </c>
      <c r="AD94" s="96">
        <f t="shared" si="252"/>
        <v>0</v>
      </c>
      <c r="AE94" s="96">
        <f t="shared" si="252"/>
        <v>0</v>
      </c>
      <c r="AF94" s="96">
        <f t="shared" si="252"/>
        <v>0</v>
      </c>
      <c r="AH94" s="435">
        <f t="shared" si="238"/>
        <v>0</v>
      </c>
      <c r="AI94" s="435">
        <f t="shared" si="238"/>
        <v>0</v>
      </c>
      <c r="AJ94" s="435">
        <f t="shared" si="238"/>
        <v>0</v>
      </c>
      <c r="AK94" s="435">
        <f t="shared" si="238"/>
        <v>0</v>
      </c>
      <c r="AL94" s="435">
        <f t="shared" si="240"/>
        <v>0</v>
      </c>
      <c r="AM94" s="444"/>
    </row>
    <row r="95" spans="1:44" outlineLevel="1">
      <c r="B95" s="43" t="s">
        <v>383</v>
      </c>
      <c r="F95" s="96"/>
      <c r="G95" s="96">
        <f>-1.21*SUM(G61,G63,G66,G67,G68,G69,G70,G72,G75,G76)</f>
        <v>-3168960.3125699866</v>
      </c>
      <c r="H95" s="96">
        <f t="shared" ref="H95:K95" si="253">-1.21*SUM(H61,H63,H66,H67,H68,H69,H70,H72,H75,H76)</f>
        <v>-5329168.2910480397</v>
      </c>
      <c r="I95" s="96">
        <f t="shared" si="253"/>
        <v>-5329168.2910480397</v>
      </c>
      <c r="J95" s="96">
        <f t="shared" si="253"/>
        <v>-5329168.2910480397</v>
      </c>
      <c r="K95" s="96">
        <f t="shared" si="253"/>
        <v>-5329168.2910480397</v>
      </c>
      <c r="M95" s="43" t="s">
        <v>383</v>
      </c>
      <c r="N95" s="96" t="e">
        <f>-1.21*SUM(N61,N63,N66,N67,N68,N69,N70,N72,N75,N76)</f>
        <v>#REF!</v>
      </c>
      <c r="O95" s="96" t="e">
        <f>-1.21*SUM(O61,O63,O66,O67,O68,O69,O70,O72,O75,O76)</f>
        <v>#REF!</v>
      </c>
      <c r="P95" s="96" t="e">
        <f>-1.21*SUM(P61,P63,P66,P67,P68,P69,P70,P72,P75,P76)</f>
        <v>#REF!</v>
      </c>
      <c r="Q95" s="96" t="e">
        <f>-1.21*SUM(Q61,Q63,Q66,Q67,Q68,Q69,Q70,Q72,Q75,Q76)</f>
        <v>#REF!</v>
      </c>
      <c r="R95" s="96" t="e">
        <f>-1.21*SUM(R61,R63,R66,R67,R68,R69,R70,R72,R75,R76)</f>
        <v>#REF!</v>
      </c>
      <c r="T95" s="43" t="s">
        <v>383</v>
      </c>
      <c r="U95" s="96" t="e">
        <f>-1.21*SUM(U61,U63,U66,U67,U68,U69,U70,U72,U75,U76)</f>
        <v>#REF!</v>
      </c>
      <c r="V95" s="96" t="e">
        <f>-1.21*SUM(V61,V63,V66,V67,V68,V69,V70,V72,V75,V76)</f>
        <v>#REF!</v>
      </c>
      <c r="W95" s="96" t="e">
        <f>-1.21*SUM(W61,W63,W66,W67,W68,W69,W70,W72,W75,W76)</f>
        <v>#REF!</v>
      </c>
      <c r="X95" s="96" t="e">
        <f>-1.21*SUM(X61,X63,X66,X67,X68,X69,X70,X72,X75,X76)</f>
        <v>#REF!</v>
      </c>
      <c r="Y95" s="96" t="e">
        <f>-1.21*SUM(Y61,Y63,Y66,Y67,Y68,Y69,Y70,Y72,Y75,Y76)</f>
        <v>#REF!</v>
      </c>
      <c r="AA95" s="43" t="s">
        <v>383</v>
      </c>
      <c r="AB95" s="96" t="e">
        <f>-1.21*SUM(AB61,AB63,AB66,AB67,AB68,AB69,AB70,AB72,AB75,AB76)</f>
        <v>#REF!</v>
      </c>
      <c r="AC95" s="96" t="e">
        <f t="shared" ref="AC95:AF95" si="254">-1.21*SUM(AC61,AC63,AC66,AC67,AC68,AC69,AC70,AC72,AC75,AC76)</f>
        <v>#REF!</v>
      </c>
      <c r="AD95" s="96" t="e">
        <f t="shared" si="254"/>
        <v>#REF!</v>
      </c>
      <c r="AE95" s="96" t="e">
        <f t="shared" si="254"/>
        <v>#REF!</v>
      </c>
      <c r="AF95" s="96" t="e">
        <f t="shared" si="254"/>
        <v>#REF!</v>
      </c>
      <c r="AH95" s="435" t="e">
        <f t="shared" si="238"/>
        <v>#REF!</v>
      </c>
      <c r="AI95" s="435" t="e">
        <f t="shared" si="238"/>
        <v>#REF!</v>
      </c>
      <c r="AJ95" s="435" t="e">
        <f t="shared" si="238"/>
        <v>#REF!</v>
      </c>
      <c r="AK95" s="435" t="e">
        <f t="shared" si="238"/>
        <v>#REF!</v>
      </c>
      <c r="AL95" s="435" t="e">
        <f t="shared" si="240"/>
        <v>#REF!</v>
      </c>
      <c r="AM95" s="444"/>
    </row>
    <row r="96" spans="1:44" outlineLevel="1">
      <c r="B96" s="43" t="s">
        <v>281</v>
      </c>
      <c r="F96" s="96"/>
      <c r="G96" s="96">
        <f>-G79</f>
        <v>-64000.000000000007</v>
      </c>
      <c r="H96" s="96">
        <f t="shared" ref="H96:K96" si="255">-H79</f>
        <v>-64000.000000000007</v>
      </c>
      <c r="I96" s="96">
        <f t="shared" si="255"/>
        <v>-64000.000000000007</v>
      </c>
      <c r="J96" s="96">
        <f t="shared" si="255"/>
        <v>-64000.000000000007</v>
      </c>
      <c r="K96" s="96">
        <f t="shared" si="255"/>
        <v>-64000.000000000007</v>
      </c>
      <c r="M96" s="43" t="s">
        <v>281</v>
      </c>
      <c r="N96" s="96">
        <f>-N79</f>
        <v>-64000.000000000007</v>
      </c>
      <c r="O96" s="96">
        <f t="shared" ref="O96:R96" si="256">-O79</f>
        <v>-64000.000000000007</v>
      </c>
      <c r="P96" s="96">
        <f t="shared" si="256"/>
        <v>-64000.000000000007</v>
      </c>
      <c r="Q96" s="96">
        <f t="shared" si="256"/>
        <v>-64000.000000000007</v>
      </c>
      <c r="R96" s="96">
        <f t="shared" si="256"/>
        <v>-64000.000000000007</v>
      </c>
      <c r="T96" s="43" t="s">
        <v>281</v>
      </c>
      <c r="U96" s="96" t="e">
        <f>-U79</f>
        <v>#REF!</v>
      </c>
      <c r="V96" s="96" t="e">
        <f t="shared" ref="V96:Y96" si="257">-V79</f>
        <v>#REF!</v>
      </c>
      <c r="W96" s="96" t="e">
        <f t="shared" si="257"/>
        <v>#REF!</v>
      </c>
      <c r="X96" s="96" t="e">
        <f t="shared" si="257"/>
        <v>#REF!</v>
      </c>
      <c r="Y96" s="96" t="e">
        <f t="shared" si="257"/>
        <v>#REF!</v>
      </c>
      <c r="AA96" s="43" t="s">
        <v>281</v>
      </c>
      <c r="AB96" s="96" t="e">
        <f>-AB79</f>
        <v>#REF!</v>
      </c>
      <c r="AC96" s="96" t="e">
        <f t="shared" ref="AC96:AF96" si="258">-AC79</f>
        <v>#REF!</v>
      </c>
      <c r="AD96" s="96" t="e">
        <f t="shared" si="258"/>
        <v>#REF!</v>
      </c>
      <c r="AE96" s="96" t="e">
        <f t="shared" si="258"/>
        <v>#REF!</v>
      </c>
      <c r="AF96" s="96" t="e">
        <f t="shared" si="258"/>
        <v>#REF!</v>
      </c>
      <c r="AH96" s="435" t="e">
        <f t="shared" si="238"/>
        <v>#REF!</v>
      </c>
      <c r="AI96" s="435" t="e">
        <f t="shared" si="238"/>
        <v>#REF!</v>
      </c>
      <c r="AJ96" s="435" t="e">
        <f t="shared" si="238"/>
        <v>#REF!</v>
      </c>
      <c r="AK96" s="435" t="e">
        <f t="shared" si="238"/>
        <v>#REF!</v>
      </c>
      <c r="AL96" s="435" t="e">
        <f t="shared" si="240"/>
        <v>#REF!</v>
      </c>
      <c r="AM96" s="444"/>
    </row>
    <row r="97" spans="2:39" outlineLevel="1">
      <c r="B97" s="46" t="s">
        <v>273</v>
      </c>
      <c r="F97" s="96"/>
      <c r="G97" s="96">
        <f>SUM(G87+G88,G89,G90,G91,G93,G94,G95)/1.21-SUM(G87+G88,G89,G90,G91,G93,G94,G95)</f>
        <v>-3467168.2913837582</v>
      </c>
      <c r="H97" s="96">
        <f t="shared" ref="H97:K97" si="259">SUM(H87+H88,H89,H90,H91,H93,H94,H95)/1.21-SUM(H87+H88,H89,H90,H91,H93,H94,H95)</f>
        <v>-3687186.1628875658</v>
      </c>
      <c r="I97" s="96">
        <f t="shared" si="259"/>
        <v>-3687186.1628875658</v>
      </c>
      <c r="J97" s="96">
        <f t="shared" si="259"/>
        <v>-3687186.1628875658</v>
      </c>
      <c r="K97" s="96">
        <f t="shared" si="259"/>
        <v>-3687186.1628875658</v>
      </c>
      <c r="M97" s="46" t="s">
        <v>273</v>
      </c>
      <c r="N97" s="96" t="e">
        <f>SUM(N87+N88,N89,N90,N91,N93,N94,N95)/1.21-SUM(N87+N88,N89,N90,N91,N93,N94,N95)</f>
        <v>#REF!</v>
      </c>
      <c r="O97" s="96" t="e">
        <f t="shared" ref="O97:R97" si="260">SUM(O87+O88,O89,O90,O91,O93,O94,O95)/1.21-SUM(O87+O88,O89,O90,O91,O93,O94,O95)</f>
        <v>#REF!</v>
      </c>
      <c r="P97" s="96" t="e">
        <f t="shared" si="260"/>
        <v>#REF!</v>
      </c>
      <c r="Q97" s="96" t="e">
        <f t="shared" si="260"/>
        <v>#REF!</v>
      </c>
      <c r="R97" s="96" t="e">
        <f t="shared" si="260"/>
        <v>#REF!</v>
      </c>
      <c r="T97" s="46" t="s">
        <v>273</v>
      </c>
      <c r="U97" s="96" t="e">
        <f>SUM(U87+U88,U89,U90,U91,U93,U94,U95)/1.21-SUM(U87+U88,U89,U90,U91,U93,U94,U95)</f>
        <v>#REF!</v>
      </c>
      <c r="V97" s="96" t="e">
        <f t="shared" ref="V97:Y97" si="261">SUM(V87+V88,V89,V90,V91,V93,V94,V95)/1.21-SUM(V87+V88,V89,V90,V91,V93,V94,V95)</f>
        <v>#REF!</v>
      </c>
      <c r="W97" s="96" t="e">
        <f t="shared" si="261"/>
        <v>#REF!</v>
      </c>
      <c r="X97" s="96" t="e">
        <f t="shared" si="261"/>
        <v>#REF!</v>
      </c>
      <c r="Y97" s="96" t="e">
        <f t="shared" si="261"/>
        <v>#REF!</v>
      </c>
      <c r="AA97" s="46" t="s">
        <v>273</v>
      </c>
      <c r="AB97" s="96" t="e">
        <f>SUM(AB87+AB88,AB89,AB90,AB91,AB93,AB94,AB95)/1.21-SUM(AB87+AB88,AB89,AB90,AB91,AB93,AB94,AB95)</f>
        <v>#REF!</v>
      </c>
      <c r="AC97" s="96" t="e">
        <f t="shared" ref="AC97:AF97" si="262">SUM(AC87+AC88,AC89,AC90,AC91,AC93,AC94,AC95)/1.21-SUM(AC87+AC88,AC89,AC90,AC91,AC93,AC94,AC95)</f>
        <v>#REF!</v>
      </c>
      <c r="AD97" s="96" t="e">
        <f t="shared" si="262"/>
        <v>#REF!</v>
      </c>
      <c r="AE97" s="96" t="e">
        <f t="shared" si="262"/>
        <v>#REF!</v>
      </c>
      <c r="AF97" s="96" t="e">
        <f t="shared" si="262"/>
        <v>#REF!</v>
      </c>
      <c r="AH97" s="435" t="e">
        <f t="shared" si="238"/>
        <v>#REF!</v>
      </c>
      <c r="AI97" s="435" t="e">
        <f t="shared" si="238"/>
        <v>#REF!</v>
      </c>
      <c r="AJ97" s="435" t="e">
        <f t="shared" si="238"/>
        <v>#REF!</v>
      </c>
      <c r="AK97" s="435" t="e">
        <f t="shared" si="238"/>
        <v>#REF!</v>
      </c>
      <c r="AL97" s="435" t="e">
        <f t="shared" si="240"/>
        <v>#REF!</v>
      </c>
      <c r="AM97" s="444"/>
    </row>
    <row r="98" spans="2:39" ht="18.75" outlineLevel="1">
      <c r="B98" s="46" t="s">
        <v>245</v>
      </c>
      <c r="F98" s="96"/>
      <c r="G98" s="96">
        <f>-F82-F160-75%*F82+41920</f>
        <v>-1267267.9454836827</v>
      </c>
      <c r="H98" s="96">
        <f t="shared" ref="H98:K98" si="263">-G82</f>
        <v>-284559.16830199189</v>
      </c>
      <c r="I98" s="96">
        <f t="shared" si="263"/>
        <v>-2667817.5246378453</v>
      </c>
      <c r="J98" s="96">
        <f t="shared" si="263"/>
        <v>-2667817.5246378453</v>
      </c>
      <c r="K98" s="96">
        <f t="shared" si="263"/>
        <v>-2667817.5246378453</v>
      </c>
      <c r="M98" s="46" t="s">
        <v>245</v>
      </c>
      <c r="N98" s="404">
        <f>G98</f>
        <v>-1267267.9454836827</v>
      </c>
      <c r="O98" s="404" t="e">
        <f>H98-AC98</f>
        <v>#REF!</v>
      </c>
      <c r="P98" s="404" t="e">
        <f t="shared" ref="P98:R98" si="264">I98-AD98</f>
        <v>#REF!</v>
      </c>
      <c r="Q98" s="404" t="e">
        <f t="shared" si="264"/>
        <v>#REF!</v>
      </c>
      <c r="R98" s="404" t="e">
        <f t="shared" si="264"/>
        <v>#REF!</v>
      </c>
      <c r="T98" s="46" t="s">
        <v>276</v>
      </c>
      <c r="U98" s="404">
        <v>0</v>
      </c>
      <c r="V98" s="96">
        <f>-investice!AV8</f>
        <v>0</v>
      </c>
      <c r="W98" s="96">
        <f>-investice!AW8</f>
        <v>0</v>
      </c>
      <c r="X98" s="96">
        <f>-investice!AX8</f>
        <v>0</v>
      </c>
      <c r="Y98" s="96">
        <f>-investice!AY8</f>
        <v>0</v>
      </c>
      <c r="AA98" s="46" t="s">
        <v>276</v>
      </c>
      <c r="AB98" s="404">
        <v>0</v>
      </c>
      <c r="AC98" s="96" t="e">
        <f t="shared" ref="AC98" si="265">-AB82</f>
        <v>#REF!</v>
      </c>
      <c r="AD98" s="96" t="e">
        <f t="shared" ref="AD98" si="266">-AC82</f>
        <v>#REF!</v>
      </c>
      <c r="AE98" s="96" t="e">
        <f t="shared" ref="AE98" si="267">-AD82</f>
        <v>#REF!</v>
      </c>
      <c r="AF98" s="96" t="e">
        <f t="shared" ref="AF98" si="268">-AE82</f>
        <v>#REF!</v>
      </c>
      <c r="AH98" s="435">
        <f t="shared" si="238"/>
        <v>0</v>
      </c>
      <c r="AI98" s="435" t="e">
        <f>H98-SUM(O98,V98,AC98)</f>
        <v>#REF!</v>
      </c>
      <c r="AJ98" s="435" t="e">
        <f>I98-SUM(P98,W98,AD98)</f>
        <v>#REF!</v>
      </c>
      <c r="AK98" s="435" t="e">
        <f>J98-SUM(Q98,X98,AE98)</f>
        <v>#REF!</v>
      </c>
      <c r="AL98" s="435" t="e">
        <f>K98-SUM(R98,Y98,AF98)</f>
        <v>#REF!</v>
      </c>
      <c r="AM98" s="444"/>
    </row>
    <row r="99" spans="2:39">
      <c r="B99" s="122" t="s">
        <v>274</v>
      </c>
      <c r="F99" s="319"/>
      <c r="G99" s="319">
        <f>SUM(G87:G98)</f>
        <v>797753.45158183761</v>
      </c>
      <c r="H99" s="319">
        <f t="shared" ref="H99:K99" si="269">SUM(H87:H98)</f>
        <v>13239712.178781666</v>
      </c>
      <c r="I99" s="319">
        <f t="shared" si="269"/>
        <v>10856453.822445814</v>
      </c>
      <c r="J99" s="319">
        <f t="shared" si="269"/>
        <v>10856453.822445814</v>
      </c>
      <c r="K99" s="319">
        <f t="shared" si="269"/>
        <v>10856453.822445814</v>
      </c>
      <c r="M99" s="122" t="s">
        <v>274</v>
      </c>
      <c r="N99" s="319" t="e">
        <f>SUM(N87:N98)</f>
        <v>#REF!</v>
      </c>
      <c r="O99" s="319" t="e">
        <f t="shared" ref="O99:R99" si="270">SUM(O87:O98)</f>
        <v>#REF!</v>
      </c>
      <c r="P99" s="319" t="e">
        <f t="shared" si="270"/>
        <v>#REF!</v>
      </c>
      <c r="Q99" s="319" t="e">
        <f t="shared" si="270"/>
        <v>#REF!</v>
      </c>
      <c r="R99" s="319" t="e">
        <f t="shared" si="270"/>
        <v>#REF!</v>
      </c>
      <c r="T99" s="122" t="s">
        <v>274</v>
      </c>
      <c r="U99" s="319" t="e">
        <f>SUM(U87:U98)</f>
        <v>#REF!</v>
      </c>
      <c r="V99" s="319" t="e">
        <f t="shared" ref="V99:Y99" si="271">SUM(V87:V98)</f>
        <v>#REF!</v>
      </c>
      <c r="W99" s="319" t="e">
        <f t="shared" si="271"/>
        <v>#REF!</v>
      </c>
      <c r="X99" s="319" t="e">
        <f t="shared" si="271"/>
        <v>#REF!</v>
      </c>
      <c r="Y99" s="319" t="e">
        <f t="shared" si="271"/>
        <v>#REF!</v>
      </c>
      <c r="AA99" s="122" t="s">
        <v>274</v>
      </c>
      <c r="AB99" s="319" t="e">
        <f>SUM(AB87:AB98)</f>
        <v>#REF!</v>
      </c>
      <c r="AC99" s="319" t="e">
        <f t="shared" ref="AC99:AF99" si="272">SUM(AC87:AC98)</f>
        <v>#REF!</v>
      </c>
      <c r="AD99" s="319" t="e">
        <f t="shared" si="272"/>
        <v>#REF!</v>
      </c>
      <c r="AE99" s="319" t="e">
        <f t="shared" si="272"/>
        <v>#REF!</v>
      </c>
      <c r="AF99" s="319" t="e">
        <f t="shared" si="272"/>
        <v>#REF!</v>
      </c>
      <c r="AH99" s="435" t="e">
        <f t="shared" si="238"/>
        <v>#REF!</v>
      </c>
      <c r="AI99" s="435" t="e">
        <f t="shared" si="238"/>
        <v>#REF!</v>
      </c>
      <c r="AJ99" s="435" t="e">
        <f t="shared" si="238"/>
        <v>#REF!</v>
      </c>
      <c r="AK99" s="435" t="e">
        <f t="shared" si="238"/>
        <v>#REF!</v>
      </c>
      <c r="AL99" s="435" t="e">
        <f t="shared" si="240"/>
        <v>#REF!</v>
      </c>
      <c r="AM99" s="444"/>
    </row>
    <row r="100" spans="2:39" ht="24" customHeight="1" outlineLevel="1">
      <c r="B100" s="46" t="s">
        <v>276</v>
      </c>
      <c r="F100" s="96"/>
      <c r="G100" s="96">
        <f>-investice!AG9</f>
        <v>-4900000</v>
      </c>
      <c r="H100" s="96">
        <f>-investice!AH9</f>
        <v>0</v>
      </c>
      <c r="I100" s="96">
        <f>-investice!AI9</f>
        <v>0</v>
      </c>
      <c r="J100" s="96">
        <f>-investice!AJ9</f>
        <v>0</v>
      </c>
      <c r="K100" s="96">
        <f>-investice!AK9</f>
        <v>0</v>
      </c>
      <c r="M100" s="46" t="s">
        <v>276</v>
      </c>
      <c r="N100" s="96">
        <f>G100</f>
        <v>-4900000</v>
      </c>
      <c r="O100" s="96">
        <f>H100</f>
        <v>0</v>
      </c>
      <c r="P100" s="96">
        <f>I100</f>
        <v>0</v>
      </c>
      <c r="Q100" s="96">
        <f>J100</f>
        <v>0</v>
      </c>
      <c r="R100" s="96">
        <f>K100</f>
        <v>0</v>
      </c>
      <c r="T100" s="46" t="s">
        <v>276</v>
      </c>
      <c r="U100" s="96">
        <v>0</v>
      </c>
      <c r="V100" s="96">
        <f>-investice!AV9</f>
        <v>0</v>
      </c>
      <c r="W100" s="96">
        <f>-investice!AW9</f>
        <v>0</v>
      </c>
      <c r="X100" s="96">
        <f>-investice!AX9</f>
        <v>0</v>
      </c>
      <c r="Y100" s="96">
        <f>-investice!AY9</f>
        <v>0</v>
      </c>
      <c r="AA100" s="46" t="s">
        <v>276</v>
      </c>
      <c r="AB100" s="96">
        <v>0</v>
      </c>
      <c r="AC100" s="96">
        <f>-investice!BC9</f>
        <v>0</v>
      </c>
      <c r="AD100" s="96">
        <f>-investice!BD9</f>
        <v>0</v>
      </c>
      <c r="AE100" s="96">
        <f>-investice!BE9</f>
        <v>0</v>
      </c>
      <c r="AF100" s="96">
        <f>-investice!BF9</f>
        <v>0</v>
      </c>
      <c r="AH100" s="435">
        <f t="shared" si="238"/>
        <v>0</v>
      </c>
      <c r="AI100" s="435">
        <f t="shared" si="238"/>
        <v>0</v>
      </c>
      <c r="AJ100" s="435">
        <f t="shared" si="238"/>
        <v>0</v>
      </c>
      <c r="AK100" s="435">
        <f t="shared" si="238"/>
        <v>0</v>
      </c>
      <c r="AL100" s="435">
        <f t="shared" si="240"/>
        <v>0</v>
      </c>
      <c r="AM100" s="444"/>
    </row>
    <row r="101" spans="2:39" outlineLevel="1">
      <c r="B101" s="46" t="s">
        <v>277</v>
      </c>
      <c r="F101" s="96"/>
      <c r="G101" s="96"/>
      <c r="H101" s="96"/>
      <c r="I101" s="96"/>
      <c r="J101" s="96"/>
      <c r="K101" s="96"/>
      <c r="M101" s="46" t="s">
        <v>277</v>
      </c>
      <c r="N101" s="96"/>
      <c r="O101" s="96"/>
      <c r="P101" s="96"/>
      <c r="Q101" s="96"/>
      <c r="R101" s="96"/>
      <c r="T101" s="46" t="s">
        <v>277</v>
      </c>
      <c r="U101" s="96"/>
      <c r="V101" s="96"/>
      <c r="W101" s="96"/>
      <c r="X101" s="96"/>
      <c r="Y101" s="96"/>
      <c r="AA101" s="46" t="s">
        <v>277</v>
      </c>
      <c r="AB101" s="96"/>
      <c r="AC101" s="96"/>
      <c r="AD101" s="96"/>
      <c r="AE101" s="96"/>
      <c r="AF101" s="96"/>
      <c r="AH101" s="435">
        <f t="shared" si="238"/>
        <v>0</v>
      </c>
      <c r="AI101" s="435">
        <f t="shared" si="238"/>
        <v>0</v>
      </c>
      <c r="AJ101" s="435">
        <f t="shared" si="238"/>
        <v>0</v>
      </c>
      <c r="AK101" s="435">
        <f t="shared" si="238"/>
        <v>0</v>
      </c>
      <c r="AL101" s="435">
        <f t="shared" si="240"/>
        <v>0</v>
      </c>
      <c r="AM101" s="444"/>
    </row>
    <row r="102" spans="2:39" outlineLevel="1">
      <c r="B102" s="46" t="s">
        <v>278</v>
      </c>
      <c r="F102" s="96"/>
      <c r="G102" s="96"/>
      <c r="H102" s="96"/>
      <c r="I102" s="96"/>
      <c r="J102" s="96"/>
      <c r="K102" s="96"/>
      <c r="M102" s="46" t="s">
        <v>278</v>
      </c>
      <c r="N102" s="96"/>
      <c r="O102" s="96"/>
      <c r="P102" s="96"/>
      <c r="Q102" s="96"/>
      <c r="R102" s="96"/>
      <c r="T102" s="46" t="s">
        <v>278</v>
      </c>
      <c r="U102" s="96"/>
      <c r="V102" s="96"/>
      <c r="W102" s="96"/>
      <c r="X102" s="96"/>
      <c r="Y102" s="96"/>
      <c r="AA102" s="46" t="s">
        <v>278</v>
      </c>
      <c r="AB102" s="96"/>
      <c r="AC102" s="96"/>
      <c r="AD102" s="96"/>
      <c r="AE102" s="96"/>
      <c r="AF102" s="96"/>
      <c r="AH102" s="435">
        <f t="shared" si="238"/>
        <v>0</v>
      </c>
      <c r="AI102" s="435">
        <f t="shared" si="238"/>
        <v>0</v>
      </c>
      <c r="AJ102" s="435">
        <f t="shared" si="238"/>
        <v>0</v>
      </c>
      <c r="AK102" s="435">
        <f t="shared" si="238"/>
        <v>0</v>
      </c>
      <c r="AL102" s="435">
        <f t="shared" si="240"/>
        <v>0</v>
      </c>
      <c r="AM102" s="444"/>
    </row>
    <row r="103" spans="2:39" outlineLevel="1">
      <c r="B103" s="46" t="s">
        <v>279</v>
      </c>
      <c r="F103" s="96"/>
      <c r="G103" s="96"/>
      <c r="H103" s="96"/>
      <c r="I103" s="96"/>
      <c r="J103" s="96"/>
      <c r="K103" s="96"/>
      <c r="M103" s="46" t="s">
        <v>279</v>
      </c>
      <c r="N103" s="96"/>
      <c r="O103" s="96"/>
      <c r="P103" s="96"/>
      <c r="Q103" s="96"/>
      <c r="R103" s="96"/>
      <c r="T103" s="46" t="s">
        <v>279</v>
      </c>
      <c r="U103" s="96"/>
      <c r="V103" s="96"/>
      <c r="W103" s="96"/>
      <c r="X103" s="96"/>
      <c r="Y103" s="96"/>
      <c r="AA103" s="46" t="s">
        <v>279</v>
      </c>
      <c r="AB103" s="96"/>
      <c r="AC103" s="96"/>
      <c r="AD103" s="96"/>
      <c r="AE103" s="96"/>
      <c r="AF103" s="96"/>
      <c r="AH103" s="435">
        <f t="shared" si="238"/>
        <v>0</v>
      </c>
      <c r="AI103" s="435">
        <f t="shared" si="238"/>
        <v>0</v>
      </c>
      <c r="AJ103" s="435">
        <f t="shared" si="238"/>
        <v>0</v>
      </c>
      <c r="AK103" s="435">
        <f t="shared" si="238"/>
        <v>0</v>
      </c>
      <c r="AL103" s="435">
        <f t="shared" si="240"/>
        <v>0</v>
      </c>
      <c r="AM103" s="444"/>
    </row>
    <row r="104" spans="2:39" outlineLevel="1">
      <c r="B104" s="46" t="s">
        <v>280</v>
      </c>
      <c r="F104" s="96"/>
      <c r="G104" s="96"/>
      <c r="H104" s="96">
        <f>H80</f>
        <v>0</v>
      </c>
      <c r="I104" s="96"/>
      <c r="J104" s="96"/>
      <c r="K104" s="96"/>
      <c r="M104" s="46" t="s">
        <v>280</v>
      </c>
      <c r="N104" s="96"/>
      <c r="O104" s="96">
        <f>O80</f>
        <v>0</v>
      </c>
      <c r="P104" s="96"/>
      <c r="Q104" s="96"/>
      <c r="R104" s="96"/>
      <c r="T104" s="46" t="s">
        <v>280</v>
      </c>
      <c r="U104" s="96"/>
      <c r="V104" s="96">
        <f>V80</f>
        <v>0</v>
      </c>
      <c r="W104" s="96"/>
      <c r="X104" s="96"/>
      <c r="Y104" s="96"/>
      <c r="AA104" s="46" t="s">
        <v>280</v>
      </c>
      <c r="AB104" s="96"/>
      <c r="AC104" s="96">
        <f>AC80</f>
        <v>0</v>
      </c>
      <c r="AD104" s="96"/>
      <c r="AE104" s="96"/>
      <c r="AF104" s="96"/>
      <c r="AH104" s="435">
        <f t="shared" si="238"/>
        <v>0</v>
      </c>
      <c r="AI104" s="435">
        <f t="shared" si="238"/>
        <v>0</v>
      </c>
      <c r="AJ104" s="435">
        <f t="shared" si="238"/>
        <v>0</v>
      </c>
      <c r="AK104" s="435">
        <f t="shared" si="238"/>
        <v>0</v>
      </c>
      <c r="AL104" s="435">
        <f t="shared" si="240"/>
        <v>0</v>
      </c>
      <c r="AM104" s="444"/>
    </row>
    <row r="105" spans="2:39">
      <c r="B105" s="122" t="s">
        <v>275</v>
      </c>
      <c r="F105" s="319"/>
      <c r="G105" s="319">
        <f>SUM(G100:G104)</f>
        <v>-4900000</v>
      </c>
      <c r="H105" s="319">
        <f t="shared" ref="H105:K105" si="273">SUM(H100:H104)</f>
        <v>0</v>
      </c>
      <c r="I105" s="319">
        <f t="shared" si="273"/>
        <v>0</v>
      </c>
      <c r="J105" s="319">
        <f t="shared" si="273"/>
        <v>0</v>
      </c>
      <c r="K105" s="319">
        <f t="shared" si="273"/>
        <v>0</v>
      </c>
      <c r="M105" s="122" t="s">
        <v>275</v>
      </c>
      <c r="N105" s="319">
        <f>SUM(N100:N104)</f>
        <v>-4900000</v>
      </c>
      <c r="O105" s="319">
        <f t="shared" ref="O105:R105" si="274">SUM(O100:O104)</f>
        <v>0</v>
      </c>
      <c r="P105" s="319">
        <f t="shared" si="274"/>
        <v>0</v>
      </c>
      <c r="Q105" s="319">
        <f t="shared" si="274"/>
        <v>0</v>
      </c>
      <c r="R105" s="319">
        <f t="shared" si="274"/>
        <v>0</v>
      </c>
      <c r="T105" s="122" t="s">
        <v>275</v>
      </c>
      <c r="U105" s="319">
        <f>SUM(U100:U104)</f>
        <v>0</v>
      </c>
      <c r="V105" s="319">
        <f t="shared" ref="V105:Y105" si="275">SUM(V100:V104)</f>
        <v>0</v>
      </c>
      <c r="W105" s="319">
        <f t="shared" si="275"/>
        <v>0</v>
      </c>
      <c r="X105" s="319">
        <f t="shared" si="275"/>
        <v>0</v>
      </c>
      <c r="Y105" s="319">
        <f t="shared" si="275"/>
        <v>0</v>
      </c>
      <c r="AA105" s="122" t="s">
        <v>275</v>
      </c>
      <c r="AB105" s="319">
        <f>SUM(AB100:AB104)</f>
        <v>0</v>
      </c>
      <c r="AC105" s="319">
        <f t="shared" ref="AC105:AF105" si="276">SUM(AC100:AC104)</f>
        <v>0</v>
      </c>
      <c r="AD105" s="319">
        <f t="shared" si="276"/>
        <v>0</v>
      </c>
      <c r="AE105" s="319">
        <f t="shared" si="276"/>
        <v>0</v>
      </c>
      <c r="AF105" s="319">
        <f t="shared" si="276"/>
        <v>0</v>
      </c>
      <c r="AH105" s="435">
        <f t="shared" si="238"/>
        <v>0</v>
      </c>
      <c r="AI105" s="435">
        <f t="shared" si="238"/>
        <v>0</v>
      </c>
      <c r="AJ105" s="435">
        <f t="shared" si="238"/>
        <v>0</v>
      </c>
      <c r="AK105" s="435">
        <f t="shared" si="238"/>
        <v>0</v>
      </c>
      <c r="AL105" s="435">
        <f t="shared" si="240"/>
        <v>0</v>
      </c>
      <c r="AM105" s="444"/>
    </row>
    <row r="106" spans="2:39" ht="24" customHeight="1" outlineLevel="1">
      <c r="B106" s="46" t="s">
        <v>283</v>
      </c>
      <c r="F106" s="96"/>
      <c r="G106" s="96"/>
      <c r="H106" s="96"/>
      <c r="I106" s="96"/>
      <c r="J106" s="96"/>
      <c r="K106" s="96"/>
      <c r="M106" s="46" t="s">
        <v>283</v>
      </c>
      <c r="N106" s="96"/>
      <c r="O106" s="96"/>
      <c r="P106" s="96"/>
      <c r="Q106" s="96"/>
      <c r="R106" s="96"/>
      <c r="T106" s="46" t="s">
        <v>283</v>
      </c>
      <c r="U106" s="96"/>
      <c r="V106" s="96"/>
      <c r="W106" s="96"/>
      <c r="X106" s="96"/>
      <c r="Y106" s="96"/>
      <c r="AA106" s="46" t="s">
        <v>283</v>
      </c>
      <c r="AB106" s="96"/>
      <c r="AC106" s="96"/>
      <c r="AD106" s="96"/>
      <c r="AE106" s="96"/>
      <c r="AF106" s="96"/>
      <c r="AH106" s="435">
        <f t="shared" si="238"/>
        <v>0</v>
      </c>
      <c r="AI106" s="435">
        <f t="shared" si="238"/>
        <v>0</v>
      </c>
      <c r="AJ106" s="435">
        <f t="shared" si="238"/>
        <v>0</v>
      </c>
      <c r="AK106" s="435">
        <f t="shared" si="238"/>
        <v>0</v>
      </c>
      <c r="AL106" s="435">
        <f t="shared" si="240"/>
        <v>0</v>
      </c>
      <c r="AM106" s="444"/>
    </row>
    <row r="107" spans="2:39" outlineLevel="1">
      <c r="B107" s="46" t="s">
        <v>284</v>
      </c>
      <c r="F107" s="96"/>
      <c r="G107" s="96"/>
      <c r="H107" s="96"/>
      <c r="I107" s="96"/>
      <c r="J107" s="96"/>
      <c r="K107" s="96"/>
      <c r="M107" s="46" t="s">
        <v>284</v>
      </c>
      <c r="N107" s="452"/>
      <c r="O107" s="96" t="e">
        <f>-investice!#REF!</f>
        <v>#REF!</v>
      </c>
      <c r="P107" s="96" t="e">
        <f>-investice!#REF!</f>
        <v>#REF!</v>
      </c>
      <c r="Q107" s="96" t="e">
        <f>-investice!#REF!</f>
        <v>#REF!</v>
      </c>
      <c r="R107" s="96" t="e">
        <f>-investice!#REF!</f>
        <v>#REF!</v>
      </c>
      <c r="T107" s="46" t="s">
        <v>276</v>
      </c>
      <c r="U107" s="96">
        <v>0</v>
      </c>
      <c r="V107" s="96" t="e">
        <f>-investice!#REF!</f>
        <v>#REF!</v>
      </c>
      <c r="W107" s="96" t="e">
        <f>-investice!#REF!</f>
        <v>#REF!</v>
      </c>
      <c r="X107" s="96" t="e">
        <f>-investice!#REF!</f>
        <v>#REF!</v>
      </c>
      <c r="Y107" s="96" t="e">
        <f>-investice!#REF!</f>
        <v>#REF!</v>
      </c>
      <c r="AA107" s="46" t="s">
        <v>276</v>
      </c>
      <c r="AB107" s="96">
        <v>0</v>
      </c>
      <c r="AC107" s="96"/>
      <c r="AD107" s="96"/>
      <c r="AE107" s="96"/>
      <c r="AF107" s="96"/>
      <c r="AH107" s="435">
        <f t="shared" si="238"/>
        <v>0</v>
      </c>
      <c r="AI107" s="435" t="e">
        <f t="shared" si="238"/>
        <v>#REF!</v>
      </c>
      <c r="AJ107" s="435" t="e">
        <f t="shared" si="238"/>
        <v>#REF!</v>
      </c>
      <c r="AK107" s="435" t="e">
        <f t="shared" si="238"/>
        <v>#REF!</v>
      </c>
      <c r="AL107" s="435" t="e">
        <f t="shared" si="240"/>
        <v>#REF!</v>
      </c>
      <c r="AM107" s="444"/>
    </row>
    <row r="108" spans="2:39" outlineLevel="1">
      <c r="B108" s="46" t="s">
        <v>285</v>
      </c>
      <c r="F108" s="96"/>
      <c r="G108" s="96"/>
      <c r="H108" s="96"/>
      <c r="I108" s="96"/>
      <c r="J108" s="96"/>
      <c r="K108" s="96"/>
      <c r="M108" s="46" t="s">
        <v>285</v>
      </c>
      <c r="N108" s="96"/>
      <c r="O108" s="96"/>
      <c r="P108" s="96"/>
      <c r="Q108" s="96"/>
      <c r="R108" s="96"/>
      <c r="T108" s="46" t="s">
        <v>285</v>
      </c>
      <c r="U108" s="96"/>
      <c r="V108" s="96"/>
      <c r="W108" s="96"/>
      <c r="X108" s="96"/>
      <c r="Y108" s="96"/>
      <c r="AA108" s="46" t="s">
        <v>285</v>
      </c>
      <c r="AB108" s="96"/>
      <c r="AC108" s="96"/>
      <c r="AD108" s="96"/>
      <c r="AE108" s="96"/>
      <c r="AF108" s="96"/>
      <c r="AH108" s="435">
        <f t="shared" si="238"/>
        <v>0</v>
      </c>
      <c r="AI108" s="435">
        <f t="shared" si="238"/>
        <v>0</v>
      </c>
      <c r="AJ108" s="435">
        <f t="shared" si="238"/>
        <v>0</v>
      </c>
      <c r="AK108" s="435">
        <f t="shared" si="238"/>
        <v>0</v>
      </c>
      <c r="AL108" s="435">
        <f t="shared" si="240"/>
        <v>0</v>
      </c>
      <c r="AM108" s="444"/>
    </row>
    <row r="109" spans="2:39" outlineLevel="1">
      <c r="B109" s="46" t="s">
        <v>286</v>
      </c>
      <c r="F109" s="96"/>
      <c r="G109" s="470">
        <v>1535200.25</v>
      </c>
      <c r="H109" s="96"/>
      <c r="I109" s="96"/>
      <c r="J109" s="96"/>
      <c r="K109" s="96"/>
      <c r="M109" s="46" t="s">
        <v>286</v>
      </c>
      <c r="N109" s="96">
        <f>G109</f>
        <v>1535200.25</v>
      </c>
      <c r="O109" s="96"/>
      <c r="P109" s="96"/>
      <c r="Q109" s="96"/>
      <c r="R109" s="96"/>
      <c r="T109" s="46" t="s">
        <v>286</v>
      </c>
      <c r="U109" s="96"/>
      <c r="V109" s="96"/>
      <c r="W109" s="96"/>
      <c r="X109" s="96"/>
      <c r="Y109" s="96"/>
      <c r="AA109" s="46" t="s">
        <v>286</v>
      </c>
      <c r="AB109" s="96"/>
      <c r="AC109" s="96"/>
      <c r="AD109" s="96"/>
      <c r="AE109" s="96"/>
      <c r="AF109" s="96"/>
      <c r="AH109" s="435">
        <f t="shared" si="238"/>
        <v>0</v>
      </c>
      <c r="AI109" s="435">
        <f t="shared" si="238"/>
        <v>0</v>
      </c>
      <c r="AJ109" s="435">
        <f t="shared" si="238"/>
        <v>0</v>
      </c>
      <c r="AK109" s="435">
        <f t="shared" si="238"/>
        <v>0</v>
      </c>
      <c r="AL109" s="435">
        <f t="shared" si="240"/>
        <v>0</v>
      </c>
      <c r="AM109" s="444"/>
    </row>
    <row r="110" spans="2:39" outlineLevel="1">
      <c r="B110" s="46" t="s">
        <v>287</v>
      </c>
      <c r="F110" s="96"/>
      <c r="G110" s="96"/>
      <c r="H110" s="96"/>
      <c r="I110" s="96"/>
      <c r="J110" s="96"/>
      <c r="K110" s="96"/>
      <c r="M110" s="46" t="s">
        <v>287</v>
      </c>
      <c r="N110" s="452"/>
      <c r="O110" s="96"/>
      <c r="P110" s="96"/>
      <c r="Q110" s="96"/>
      <c r="R110" s="96"/>
      <c r="T110" s="46" t="s">
        <v>287</v>
      </c>
      <c r="U110" s="96"/>
      <c r="V110" s="96"/>
      <c r="W110" s="96"/>
      <c r="X110" s="96"/>
      <c r="Y110" s="96"/>
      <c r="AA110" s="46" t="s">
        <v>287</v>
      </c>
      <c r="AB110" s="96"/>
      <c r="AC110" s="96"/>
      <c r="AD110" s="96"/>
      <c r="AE110" s="96"/>
      <c r="AF110" s="96"/>
      <c r="AH110" s="435">
        <f t="shared" si="238"/>
        <v>0</v>
      </c>
      <c r="AI110" s="435">
        <f t="shared" si="238"/>
        <v>0</v>
      </c>
      <c r="AJ110" s="435">
        <f t="shared" si="238"/>
        <v>0</v>
      </c>
      <c r="AK110" s="435">
        <f t="shared" si="238"/>
        <v>0</v>
      </c>
      <c r="AL110" s="435">
        <f t="shared" si="240"/>
        <v>0</v>
      </c>
      <c r="AM110" s="444"/>
    </row>
    <row r="111" spans="2:39" outlineLevel="1">
      <c r="B111" s="46" t="s">
        <v>288</v>
      </c>
      <c r="F111" s="96"/>
      <c r="G111" s="96"/>
      <c r="H111" s="96"/>
      <c r="I111" s="96"/>
      <c r="J111" s="96"/>
      <c r="K111" s="96"/>
      <c r="M111" s="46" t="s">
        <v>288</v>
      </c>
      <c r="N111" s="96"/>
      <c r="O111" s="96"/>
      <c r="P111" s="96"/>
      <c r="Q111" s="96"/>
      <c r="R111" s="96"/>
      <c r="T111" s="46" t="s">
        <v>288</v>
      </c>
      <c r="U111" s="96"/>
      <c r="V111" s="96"/>
      <c r="W111" s="96"/>
      <c r="X111" s="96"/>
      <c r="Y111" s="96"/>
      <c r="AA111" s="46" t="s">
        <v>288</v>
      </c>
      <c r="AB111" s="96"/>
      <c r="AC111" s="96"/>
      <c r="AD111" s="96"/>
      <c r="AE111" s="96"/>
      <c r="AF111" s="96"/>
      <c r="AH111" s="435">
        <f t="shared" si="238"/>
        <v>0</v>
      </c>
      <c r="AI111" s="435">
        <f t="shared" si="238"/>
        <v>0</v>
      </c>
      <c r="AJ111" s="435">
        <f t="shared" si="238"/>
        <v>0</v>
      </c>
      <c r="AK111" s="435">
        <f t="shared" si="238"/>
        <v>0</v>
      </c>
      <c r="AL111" s="435">
        <f t="shared" si="240"/>
        <v>0</v>
      </c>
      <c r="AM111" s="444"/>
    </row>
    <row r="112" spans="2:39" outlineLevel="1">
      <c r="B112" s="46" t="s">
        <v>289</v>
      </c>
      <c r="F112" s="96"/>
      <c r="G112" s="96"/>
      <c r="H112" s="96"/>
      <c r="I112" s="96"/>
      <c r="J112" s="96"/>
      <c r="K112" s="96"/>
      <c r="M112" s="46" t="s">
        <v>289</v>
      </c>
      <c r="N112" s="96"/>
      <c r="O112" s="96"/>
      <c r="P112" s="96"/>
      <c r="Q112" s="96"/>
      <c r="R112" s="96"/>
      <c r="T112" s="46" t="s">
        <v>289</v>
      </c>
      <c r="U112" s="96"/>
      <c r="V112" s="96"/>
      <c r="W112" s="96"/>
      <c r="X112" s="96"/>
      <c r="Y112" s="96"/>
      <c r="AA112" s="46" t="s">
        <v>289</v>
      </c>
      <c r="AB112" s="96"/>
      <c r="AC112" s="96"/>
      <c r="AD112" s="96"/>
      <c r="AE112" s="96"/>
      <c r="AF112" s="96"/>
      <c r="AH112" s="435">
        <f t="shared" si="238"/>
        <v>0</v>
      </c>
      <c r="AI112" s="435">
        <f t="shared" si="238"/>
        <v>0</v>
      </c>
      <c r="AJ112" s="435">
        <f t="shared" si="238"/>
        <v>0</v>
      </c>
      <c r="AK112" s="435">
        <f t="shared" si="238"/>
        <v>0</v>
      </c>
      <c r="AL112" s="435">
        <f t="shared" si="240"/>
        <v>0</v>
      </c>
      <c r="AM112" s="444"/>
    </row>
    <row r="113" spans="1:39" outlineLevel="1">
      <c r="B113" s="46" t="s">
        <v>290</v>
      </c>
      <c r="F113" s="96"/>
      <c r="G113" s="96"/>
      <c r="H113" s="96"/>
      <c r="I113" s="96"/>
      <c r="J113" s="96"/>
      <c r="K113" s="96"/>
      <c r="M113" s="46" t="s">
        <v>290</v>
      </c>
      <c r="N113" s="96"/>
      <c r="O113" s="96"/>
      <c r="P113" s="96"/>
      <c r="Q113" s="96"/>
      <c r="R113" s="96"/>
      <c r="T113" s="46" t="s">
        <v>290</v>
      </c>
      <c r="U113" s="96"/>
      <c r="V113" s="96"/>
      <c r="W113" s="96"/>
      <c r="X113" s="96"/>
      <c r="Y113" s="96"/>
      <c r="AA113" s="46" t="s">
        <v>290</v>
      </c>
      <c r="AB113" s="96"/>
      <c r="AC113" s="96"/>
      <c r="AD113" s="96"/>
      <c r="AE113" s="96"/>
      <c r="AF113" s="96"/>
      <c r="AH113" s="435">
        <f t="shared" si="238"/>
        <v>0</v>
      </c>
      <c r="AI113" s="435">
        <f t="shared" si="238"/>
        <v>0</v>
      </c>
      <c r="AJ113" s="435">
        <f t="shared" si="238"/>
        <v>0</v>
      </c>
      <c r="AK113" s="435">
        <f t="shared" si="238"/>
        <v>0</v>
      </c>
      <c r="AL113" s="435">
        <f t="shared" si="240"/>
        <v>0</v>
      </c>
      <c r="AM113" s="444"/>
    </row>
    <row r="114" spans="1:39" outlineLevel="1">
      <c r="B114" s="46" t="s">
        <v>294</v>
      </c>
      <c r="F114" s="96"/>
      <c r="G114" s="96">
        <f>G80</f>
        <v>55999.999999999993</v>
      </c>
      <c r="H114" s="96"/>
      <c r="I114" s="96">
        <f t="shared" ref="I114:K114" si="277">I80</f>
        <v>0</v>
      </c>
      <c r="J114" s="96">
        <f t="shared" si="277"/>
        <v>0</v>
      </c>
      <c r="K114" s="96">
        <f t="shared" si="277"/>
        <v>0</v>
      </c>
      <c r="M114" s="46" t="s">
        <v>294</v>
      </c>
      <c r="N114" s="96">
        <f>N80</f>
        <v>55999.999999999993</v>
      </c>
      <c r="O114" s="96"/>
      <c r="P114" s="96">
        <f t="shared" ref="P114:R114" si="278">P80</f>
        <v>0</v>
      </c>
      <c r="Q114" s="96">
        <f t="shared" si="278"/>
        <v>0</v>
      </c>
      <c r="R114" s="96">
        <f t="shared" si="278"/>
        <v>0</v>
      </c>
      <c r="T114" s="46" t="s">
        <v>294</v>
      </c>
      <c r="U114" s="96" t="e">
        <f>U80</f>
        <v>#REF!</v>
      </c>
      <c r="V114" s="96"/>
      <c r="W114" s="96">
        <f t="shared" ref="W114:Y114" si="279">W80</f>
        <v>0</v>
      </c>
      <c r="X114" s="96">
        <f t="shared" si="279"/>
        <v>0</v>
      </c>
      <c r="Y114" s="96">
        <f t="shared" si="279"/>
        <v>0</v>
      </c>
      <c r="AA114" s="46" t="s">
        <v>294</v>
      </c>
      <c r="AB114" s="96" t="e">
        <f>AB80</f>
        <v>#REF!</v>
      </c>
      <c r="AC114" s="96"/>
      <c r="AD114" s="96">
        <f t="shared" ref="AD114:AF114" si="280">AD80</f>
        <v>0</v>
      </c>
      <c r="AE114" s="96">
        <f t="shared" si="280"/>
        <v>0</v>
      </c>
      <c r="AF114" s="96">
        <f t="shared" si="280"/>
        <v>0</v>
      </c>
      <c r="AH114" s="435" t="e">
        <f t="shared" si="238"/>
        <v>#REF!</v>
      </c>
      <c r="AI114" s="435">
        <f t="shared" si="238"/>
        <v>0</v>
      </c>
      <c r="AJ114" s="435">
        <f t="shared" si="238"/>
        <v>0</v>
      </c>
      <c r="AK114" s="435">
        <f t="shared" si="238"/>
        <v>0</v>
      </c>
      <c r="AL114" s="435">
        <f t="shared" si="240"/>
        <v>0</v>
      </c>
      <c r="AM114" s="444"/>
    </row>
    <row r="115" spans="1:39" ht="15.75" thickBot="1">
      <c r="B115" s="122" t="s">
        <v>282</v>
      </c>
      <c r="F115" s="319"/>
      <c r="G115" s="319">
        <f>SUM(G106:G114)</f>
        <v>1591200.25</v>
      </c>
      <c r="H115" s="319">
        <f t="shared" ref="H115:K115" si="281">SUM(H106:H114)</f>
        <v>0</v>
      </c>
      <c r="I115" s="319">
        <f t="shared" si="281"/>
        <v>0</v>
      </c>
      <c r="J115" s="319">
        <f t="shared" si="281"/>
        <v>0</v>
      </c>
      <c r="K115" s="319">
        <f t="shared" si="281"/>
        <v>0</v>
      </c>
      <c r="M115" s="122" t="s">
        <v>282</v>
      </c>
      <c r="N115" s="319">
        <f>SUM(N106:N114)</f>
        <v>1591200.25</v>
      </c>
      <c r="O115" s="319" t="e">
        <f t="shared" ref="O115:R115" si="282">SUM(O106:O114)</f>
        <v>#REF!</v>
      </c>
      <c r="P115" s="319" t="e">
        <f t="shared" si="282"/>
        <v>#REF!</v>
      </c>
      <c r="Q115" s="319" t="e">
        <f t="shared" si="282"/>
        <v>#REF!</v>
      </c>
      <c r="R115" s="319" t="e">
        <f t="shared" si="282"/>
        <v>#REF!</v>
      </c>
      <c r="T115" s="122" t="s">
        <v>282</v>
      </c>
      <c r="U115" s="319" t="e">
        <f>SUM(U106:U114)</f>
        <v>#REF!</v>
      </c>
      <c r="V115" s="319" t="e">
        <f t="shared" ref="V115:Y115" si="283">SUM(V106:V114)</f>
        <v>#REF!</v>
      </c>
      <c r="W115" s="319" t="e">
        <f t="shared" si="283"/>
        <v>#REF!</v>
      </c>
      <c r="X115" s="319" t="e">
        <f t="shared" si="283"/>
        <v>#REF!</v>
      </c>
      <c r="Y115" s="319" t="e">
        <f t="shared" si="283"/>
        <v>#REF!</v>
      </c>
      <c r="AA115" s="122" t="s">
        <v>282</v>
      </c>
      <c r="AB115" s="319" t="e">
        <f>SUM(AB106:AB114)</f>
        <v>#REF!</v>
      </c>
      <c r="AC115" s="319">
        <f t="shared" ref="AC115:AF115" si="284">SUM(AC106:AC114)</f>
        <v>0</v>
      </c>
      <c r="AD115" s="319">
        <f t="shared" si="284"/>
        <v>0</v>
      </c>
      <c r="AE115" s="319">
        <f t="shared" si="284"/>
        <v>0</v>
      </c>
      <c r="AF115" s="319">
        <f t="shared" si="284"/>
        <v>0</v>
      </c>
      <c r="AH115" s="435" t="e">
        <f t="shared" si="238"/>
        <v>#REF!</v>
      </c>
      <c r="AI115" s="435" t="e">
        <f t="shared" si="238"/>
        <v>#REF!</v>
      </c>
      <c r="AJ115" s="435" t="e">
        <f t="shared" si="238"/>
        <v>#REF!</v>
      </c>
      <c r="AK115" s="435" t="e">
        <f t="shared" si="238"/>
        <v>#REF!</v>
      </c>
      <c r="AL115" s="435" t="e">
        <f t="shared" si="240"/>
        <v>#REF!</v>
      </c>
      <c r="AM115" s="444"/>
    </row>
    <row r="116" spans="1:39" s="70" customFormat="1" ht="27" customHeight="1" thickTop="1" thickBot="1">
      <c r="B116" s="71" t="s">
        <v>291</v>
      </c>
      <c r="F116" s="320"/>
      <c r="G116" s="320">
        <f>SUM(G99,G105,G115)</f>
        <v>-2511046.2984181624</v>
      </c>
      <c r="H116" s="320">
        <f t="shared" ref="H116:K116" si="285">SUM(H99,H105,H115)</f>
        <v>13239712.178781666</v>
      </c>
      <c r="I116" s="320">
        <f t="shared" si="285"/>
        <v>10856453.822445814</v>
      </c>
      <c r="J116" s="320">
        <f t="shared" si="285"/>
        <v>10856453.822445814</v>
      </c>
      <c r="K116" s="320">
        <f t="shared" si="285"/>
        <v>10856453.822445814</v>
      </c>
      <c r="L116" s="344"/>
      <c r="M116" s="71" t="s">
        <v>291</v>
      </c>
      <c r="N116" s="320" t="e">
        <f>SUM(N99,N105,N115)</f>
        <v>#REF!</v>
      </c>
      <c r="O116" s="320" t="e">
        <f t="shared" ref="O116:R116" si="286">SUM(O99,O105,O115)</f>
        <v>#REF!</v>
      </c>
      <c r="P116" s="320" t="e">
        <f t="shared" si="286"/>
        <v>#REF!</v>
      </c>
      <c r="Q116" s="320" t="e">
        <f t="shared" si="286"/>
        <v>#REF!</v>
      </c>
      <c r="R116" s="320" t="e">
        <f t="shared" si="286"/>
        <v>#REF!</v>
      </c>
      <c r="S116" s="344"/>
      <c r="T116" s="71" t="s">
        <v>291</v>
      </c>
      <c r="U116" s="320" t="e">
        <f>SUM(U99,U105,U115)</f>
        <v>#REF!</v>
      </c>
      <c r="V116" s="320" t="e">
        <f t="shared" ref="V116:Y116" si="287">SUM(V99,V105,V115)</f>
        <v>#REF!</v>
      </c>
      <c r="W116" s="320" t="e">
        <f t="shared" si="287"/>
        <v>#REF!</v>
      </c>
      <c r="X116" s="320" t="e">
        <f t="shared" si="287"/>
        <v>#REF!</v>
      </c>
      <c r="Y116" s="320" t="e">
        <f t="shared" si="287"/>
        <v>#REF!</v>
      </c>
      <c r="Z116" s="344"/>
      <c r="AA116" s="71" t="s">
        <v>291</v>
      </c>
      <c r="AB116" s="320" t="e">
        <f>SUM(AB99,AB105,AB115)</f>
        <v>#REF!</v>
      </c>
      <c r="AC116" s="320" t="e">
        <f t="shared" ref="AC116:AF116" si="288">SUM(AC99,AC105,AC115)</f>
        <v>#REF!</v>
      </c>
      <c r="AD116" s="320" t="e">
        <f t="shared" si="288"/>
        <v>#REF!</v>
      </c>
      <c r="AE116" s="320" t="e">
        <f t="shared" si="288"/>
        <v>#REF!</v>
      </c>
      <c r="AF116" s="320" t="e">
        <f t="shared" si="288"/>
        <v>#REF!</v>
      </c>
      <c r="AH116" s="435" t="e">
        <f t="shared" si="238"/>
        <v>#REF!</v>
      </c>
      <c r="AI116" s="435" t="e">
        <f t="shared" si="238"/>
        <v>#REF!</v>
      </c>
      <c r="AJ116" s="435" t="e">
        <f t="shared" si="238"/>
        <v>#REF!</v>
      </c>
      <c r="AK116" s="435" t="e">
        <f t="shared" si="238"/>
        <v>#REF!</v>
      </c>
      <c r="AL116" s="435" t="e">
        <f t="shared" si="240"/>
        <v>#REF!</v>
      </c>
      <c r="AM116" s="444"/>
    </row>
    <row r="117" spans="1:39" ht="24" customHeight="1" thickTop="1">
      <c r="B117" s="45" t="s">
        <v>292</v>
      </c>
      <c r="G117" s="96">
        <f>F118</f>
        <v>11869986.521666666</v>
      </c>
      <c r="H117" s="96">
        <f>G118</f>
        <v>9358940.2232485041</v>
      </c>
      <c r="I117" s="96">
        <f t="shared" ref="I117:K117" si="289">H118</f>
        <v>22598652.40203017</v>
      </c>
      <c r="J117" s="96">
        <f t="shared" si="289"/>
        <v>33455106.224475984</v>
      </c>
      <c r="K117" s="96">
        <f t="shared" si="289"/>
        <v>44311560.046921797</v>
      </c>
      <c r="M117" s="45" t="s">
        <v>292</v>
      </c>
      <c r="N117" s="96">
        <f>G117-U117-AB117</f>
        <v>11869986.521666666</v>
      </c>
      <c r="O117" s="96" t="e">
        <f>N118</f>
        <v>#REF!</v>
      </c>
      <c r="P117" s="96" t="e">
        <f t="shared" ref="P117:R117" si="290">O118</f>
        <v>#REF!</v>
      </c>
      <c r="Q117" s="96" t="e">
        <f t="shared" si="290"/>
        <v>#REF!</v>
      </c>
      <c r="R117" s="96" t="e">
        <f t="shared" si="290"/>
        <v>#REF!</v>
      </c>
      <c r="T117" s="40" t="s">
        <v>333</v>
      </c>
      <c r="U117" s="96">
        <v>0</v>
      </c>
      <c r="V117" s="96" t="e">
        <f>U118</f>
        <v>#REF!</v>
      </c>
      <c r="W117" s="96" t="e">
        <f t="shared" ref="W117:Y117" si="291">V118</f>
        <v>#REF!</v>
      </c>
      <c r="X117" s="96" t="e">
        <f t="shared" si="291"/>
        <v>#REF!</v>
      </c>
      <c r="Y117" s="96" t="e">
        <f t="shared" si="291"/>
        <v>#REF!</v>
      </c>
      <c r="AA117" s="40" t="s">
        <v>333</v>
      </c>
      <c r="AB117" s="96">
        <v>0</v>
      </c>
      <c r="AC117" s="96" t="e">
        <f>AB118</f>
        <v>#REF!</v>
      </c>
      <c r="AD117" s="96" t="e">
        <f t="shared" ref="AD117" si="292">AC118</f>
        <v>#REF!</v>
      </c>
      <c r="AE117" s="96" t="e">
        <f t="shared" ref="AE117" si="293">AD118</f>
        <v>#REF!</v>
      </c>
      <c r="AF117" s="96" t="e">
        <f t="shared" ref="AF117" si="294">AE118</f>
        <v>#REF!</v>
      </c>
      <c r="AH117" s="435">
        <f t="shared" si="238"/>
        <v>0</v>
      </c>
      <c r="AI117" s="435" t="e">
        <f t="shared" si="238"/>
        <v>#REF!</v>
      </c>
      <c r="AJ117" s="435" t="e">
        <f t="shared" si="238"/>
        <v>#REF!</v>
      </c>
      <c r="AK117" s="435" t="e">
        <f t="shared" si="238"/>
        <v>#REF!</v>
      </c>
      <c r="AL117" s="435" t="e">
        <f t="shared" si="240"/>
        <v>#REF!</v>
      </c>
      <c r="AM117" s="435"/>
    </row>
    <row r="118" spans="1:39">
      <c r="B118" s="122" t="s">
        <v>293</v>
      </c>
      <c r="F118" s="96">
        <f>F141</f>
        <v>11869986.521666666</v>
      </c>
      <c r="G118" s="100">
        <f>G117+G116</f>
        <v>9358940.2232485041</v>
      </c>
      <c r="H118" s="100">
        <f t="shared" ref="H118:K118" si="295">H117+H116</f>
        <v>22598652.40203017</v>
      </c>
      <c r="I118" s="100">
        <f t="shared" si="295"/>
        <v>33455106.224475984</v>
      </c>
      <c r="J118" s="100">
        <f t="shared" si="295"/>
        <v>44311560.046921797</v>
      </c>
      <c r="K118" s="100">
        <f t="shared" si="295"/>
        <v>55168013.869367614</v>
      </c>
      <c r="M118" s="122" t="s">
        <v>293</v>
      </c>
      <c r="N118" s="100" t="e">
        <f>N117+N116</f>
        <v>#REF!</v>
      </c>
      <c r="O118" s="100" t="e">
        <f t="shared" ref="O118:R118" si="296">O117+O116</f>
        <v>#REF!</v>
      </c>
      <c r="P118" s="100" t="e">
        <f t="shared" si="296"/>
        <v>#REF!</v>
      </c>
      <c r="Q118" s="100" t="e">
        <f t="shared" si="296"/>
        <v>#REF!</v>
      </c>
      <c r="R118" s="420" t="e">
        <f t="shared" si="296"/>
        <v>#REF!</v>
      </c>
      <c r="T118" s="122" t="s">
        <v>293</v>
      </c>
      <c r="U118" s="100" t="e">
        <f>U117+U116</f>
        <v>#REF!</v>
      </c>
      <c r="V118" s="100" t="e">
        <f t="shared" ref="V118:Y118" si="297">V117+V116</f>
        <v>#REF!</v>
      </c>
      <c r="W118" s="100" t="e">
        <f t="shared" si="297"/>
        <v>#REF!</v>
      </c>
      <c r="X118" s="100" t="e">
        <f t="shared" si="297"/>
        <v>#REF!</v>
      </c>
      <c r="Y118" s="100" t="e">
        <f t="shared" si="297"/>
        <v>#REF!</v>
      </c>
      <c r="AA118" s="122" t="s">
        <v>293</v>
      </c>
      <c r="AB118" s="100" t="e">
        <f>AB117+AB116</f>
        <v>#REF!</v>
      </c>
      <c r="AC118" s="100" t="e">
        <f t="shared" ref="AC118:AF118" si="298">AC117+AC116</f>
        <v>#REF!</v>
      </c>
      <c r="AD118" s="100" t="e">
        <f t="shared" si="298"/>
        <v>#REF!</v>
      </c>
      <c r="AE118" s="100" t="e">
        <f t="shared" si="298"/>
        <v>#REF!</v>
      </c>
      <c r="AF118" s="100" t="e">
        <f t="shared" si="298"/>
        <v>#REF!</v>
      </c>
      <c r="AH118" s="435" t="e">
        <f t="shared" si="238"/>
        <v>#REF!</v>
      </c>
      <c r="AI118" s="435" t="e">
        <f t="shared" si="238"/>
        <v>#REF!</v>
      </c>
      <c r="AJ118" s="435" t="e">
        <f t="shared" si="238"/>
        <v>#REF!</v>
      </c>
      <c r="AK118" s="435" t="e">
        <f t="shared" si="238"/>
        <v>#REF!</v>
      </c>
      <c r="AL118" s="435" t="e">
        <f t="shared" si="240"/>
        <v>#REF!</v>
      </c>
      <c r="AM118" s="435"/>
    </row>
    <row r="119" spans="1:39">
      <c r="AH119" s="435">
        <f t="shared" si="238"/>
        <v>0</v>
      </c>
      <c r="AI119" s="435">
        <f t="shared" si="238"/>
        <v>0</v>
      </c>
      <c r="AJ119" s="435">
        <f t="shared" si="238"/>
        <v>0</v>
      </c>
      <c r="AK119" s="435">
        <f t="shared" si="238"/>
        <v>0</v>
      </c>
      <c r="AL119" s="435">
        <f t="shared" si="240"/>
        <v>0</v>
      </c>
      <c r="AM119" s="444"/>
    </row>
    <row r="120" spans="1:39" ht="30" customHeight="1">
      <c r="B120" s="37" t="s">
        <v>295</v>
      </c>
      <c r="M120" s="37" t="s">
        <v>295</v>
      </c>
      <c r="T120" s="37" t="s">
        <v>295</v>
      </c>
      <c r="AA120" s="37" t="s">
        <v>295</v>
      </c>
      <c r="AH120" s="435">
        <f t="shared" si="238"/>
        <v>0</v>
      </c>
      <c r="AI120" s="435">
        <f t="shared" si="238"/>
        <v>0</v>
      </c>
      <c r="AJ120" s="435">
        <f t="shared" si="238"/>
        <v>0</v>
      </c>
      <c r="AK120" s="435">
        <f t="shared" si="238"/>
        <v>0</v>
      </c>
      <c r="AL120" s="435">
        <f t="shared" si="240"/>
        <v>0</v>
      </c>
      <c r="AM120" s="444"/>
    </row>
    <row r="121" spans="1:39" s="96" customFormat="1" ht="18.95" customHeight="1" outlineLevel="1">
      <c r="A121" s="39" t="s">
        <v>296</v>
      </c>
      <c r="B121" s="40" t="s">
        <v>297</v>
      </c>
      <c r="C121" s="41">
        <v>24236.368333333336</v>
      </c>
      <c r="D121" s="41">
        <v>24236.368333333336</v>
      </c>
      <c r="E121" s="41">
        <v>24236.368333333336</v>
      </c>
      <c r="F121" s="41">
        <v>93246.368333333332</v>
      </c>
      <c r="G121" s="41">
        <f>F121</f>
        <v>93246.368333333332</v>
      </c>
      <c r="H121" s="41">
        <f t="shared" ref="H121:K121" si="299">G121</f>
        <v>93246.368333333332</v>
      </c>
      <c r="I121" s="41">
        <f t="shared" si="299"/>
        <v>93246.368333333332</v>
      </c>
      <c r="J121" s="41">
        <f t="shared" si="299"/>
        <v>93246.368333333332</v>
      </c>
      <c r="K121" s="41">
        <f t="shared" si="299"/>
        <v>93246.368333333332</v>
      </c>
      <c r="L121" s="333"/>
      <c r="M121" s="40" t="s">
        <v>297</v>
      </c>
      <c r="N121" s="41">
        <f t="shared" ref="N121:N126" si="300">G121</f>
        <v>93246.368333333332</v>
      </c>
      <c r="O121" s="41">
        <f t="shared" ref="O121:O126" si="301">H121</f>
        <v>93246.368333333332</v>
      </c>
      <c r="P121" s="41">
        <f t="shared" ref="P121:P126" si="302">I121</f>
        <v>93246.368333333332</v>
      </c>
      <c r="Q121" s="41">
        <f t="shared" ref="Q121:Q126" si="303">J121</f>
        <v>93246.368333333332</v>
      </c>
      <c r="R121" s="41">
        <f t="shared" ref="R121:R126" si="304">K121</f>
        <v>93246.368333333332</v>
      </c>
      <c r="S121" s="333"/>
      <c r="T121" s="46" t="s">
        <v>276</v>
      </c>
      <c r="U121" s="41">
        <v>0</v>
      </c>
      <c r="V121" s="96" t="e">
        <f>-investice!#REF!</f>
        <v>#REF!</v>
      </c>
      <c r="W121" s="96" t="e">
        <f>-investice!#REF!</f>
        <v>#REF!</v>
      </c>
      <c r="X121" s="96" t="e">
        <f>-investice!#REF!</f>
        <v>#REF!</v>
      </c>
      <c r="Y121" s="96" t="e">
        <f>-investice!#REF!</f>
        <v>#REF!</v>
      </c>
      <c r="Z121" s="333"/>
      <c r="AA121" s="46" t="s">
        <v>276</v>
      </c>
      <c r="AB121" s="41">
        <v>0</v>
      </c>
      <c r="AC121" s="41">
        <f t="shared" ref="AC121:AC124" si="305">AB121</f>
        <v>0</v>
      </c>
      <c r="AD121" s="41">
        <f t="shared" ref="AD121:AD124" si="306">AC121</f>
        <v>0</v>
      </c>
      <c r="AE121" s="41">
        <f t="shared" ref="AE121:AE124" si="307">AD121</f>
        <v>0</v>
      </c>
      <c r="AF121" s="41">
        <f t="shared" ref="AF121:AF124" si="308">AE121</f>
        <v>0</v>
      </c>
      <c r="AH121" s="435">
        <f t="shared" si="238"/>
        <v>0</v>
      </c>
      <c r="AI121" s="435" t="e">
        <f t="shared" si="238"/>
        <v>#REF!</v>
      </c>
      <c r="AJ121" s="435" t="e">
        <f t="shared" si="238"/>
        <v>#REF!</v>
      </c>
      <c r="AK121" s="435" t="e">
        <f t="shared" si="238"/>
        <v>#REF!</v>
      </c>
      <c r="AL121" s="435" t="e">
        <f t="shared" si="240"/>
        <v>#REF!</v>
      </c>
      <c r="AM121" s="444"/>
    </row>
    <row r="122" spans="1:39" s="96" customFormat="1" ht="18.95" customHeight="1" outlineLevel="1">
      <c r="A122" s="39" t="s">
        <v>298</v>
      </c>
      <c r="B122" s="40" t="s">
        <v>299</v>
      </c>
      <c r="C122" s="41">
        <v>47389.99</v>
      </c>
      <c r="D122" s="41">
        <v>47389.99</v>
      </c>
      <c r="E122" s="41">
        <v>47389.99</v>
      </c>
      <c r="F122" s="41">
        <v>47389.99</v>
      </c>
      <c r="G122" s="41">
        <f t="shared" ref="G122:G126" si="309">F122</f>
        <v>47389.99</v>
      </c>
      <c r="H122" s="41">
        <f t="shared" ref="H122:K126" si="310">G122</f>
        <v>47389.99</v>
      </c>
      <c r="I122" s="41">
        <f t="shared" si="310"/>
        <v>47389.99</v>
      </c>
      <c r="J122" s="41">
        <f t="shared" si="310"/>
        <v>47389.99</v>
      </c>
      <c r="K122" s="41">
        <f t="shared" si="310"/>
        <v>47389.99</v>
      </c>
      <c r="L122" s="333"/>
      <c r="M122" s="40" t="s">
        <v>299</v>
      </c>
      <c r="N122" s="41">
        <f t="shared" si="300"/>
        <v>47389.99</v>
      </c>
      <c r="O122" s="41">
        <f t="shared" si="301"/>
        <v>47389.99</v>
      </c>
      <c r="P122" s="41">
        <f t="shared" si="302"/>
        <v>47389.99</v>
      </c>
      <c r="Q122" s="41">
        <f t="shared" si="303"/>
        <v>47389.99</v>
      </c>
      <c r="R122" s="41">
        <f t="shared" si="304"/>
        <v>47389.99</v>
      </c>
      <c r="S122" s="333"/>
      <c r="T122" s="46" t="s">
        <v>276</v>
      </c>
      <c r="U122" s="41">
        <v>0</v>
      </c>
      <c r="V122" s="96" t="e">
        <f>-investice!#REF!</f>
        <v>#REF!</v>
      </c>
      <c r="W122" s="96" t="e">
        <f>-investice!#REF!</f>
        <v>#REF!</v>
      </c>
      <c r="X122" s="96" t="e">
        <f>-investice!#REF!</f>
        <v>#REF!</v>
      </c>
      <c r="Y122" s="96" t="e">
        <f>-investice!#REF!</f>
        <v>#REF!</v>
      </c>
      <c r="Z122" s="333"/>
      <c r="AA122" s="46" t="s">
        <v>276</v>
      </c>
      <c r="AB122" s="41">
        <v>0</v>
      </c>
      <c r="AC122" s="41">
        <f t="shared" si="305"/>
        <v>0</v>
      </c>
      <c r="AD122" s="41">
        <f t="shared" si="306"/>
        <v>0</v>
      </c>
      <c r="AE122" s="41">
        <f t="shared" si="307"/>
        <v>0</v>
      </c>
      <c r="AF122" s="41">
        <f t="shared" si="308"/>
        <v>0</v>
      </c>
      <c r="AH122" s="435">
        <f t="shared" si="238"/>
        <v>0</v>
      </c>
      <c r="AI122" s="435" t="e">
        <f t="shared" si="238"/>
        <v>#REF!</v>
      </c>
      <c r="AJ122" s="435" t="e">
        <f t="shared" si="238"/>
        <v>#REF!</v>
      </c>
      <c r="AK122" s="435" t="e">
        <f t="shared" si="238"/>
        <v>#REF!</v>
      </c>
      <c r="AL122" s="435" t="e">
        <f t="shared" si="240"/>
        <v>#REF!</v>
      </c>
      <c r="AM122" s="444"/>
    </row>
    <row r="123" spans="1:39" s="96" customFormat="1" ht="18.95" customHeight="1" outlineLevel="1">
      <c r="A123" s="39" t="s">
        <v>300</v>
      </c>
      <c r="B123" s="40" t="s">
        <v>301</v>
      </c>
      <c r="C123" s="41">
        <v>1325118.5366666669</v>
      </c>
      <c r="D123" s="41">
        <v>1346709.2033333334</v>
      </c>
      <c r="E123" s="41">
        <v>1997771.0266666666</v>
      </c>
      <c r="F123" s="41">
        <v>2265792.5266666668</v>
      </c>
      <c r="G123" s="41">
        <f t="shared" si="309"/>
        <v>2265792.5266666668</v>
      </c>
      <c r="H123" s="41">
        <f t="shared" si="310"/>
        <v>2265792.5266666668</v>
      </c>
      <c r="I123" s="41">
        <f t="shared" si="310"/>
        <v>2265792.5266666668</v>
      </c>
      <c r="J123" s="41">
        <f t="shared" si="310"/>
        <v>2265792.5266666668</v>
      </c>
      <c r="K123" s="41">
        <f t="shared" si="310"/>
        <v>2265792.5266666668</v>
      </c>
      <c r="L123" s="333"/>
      <c r="M123" s="40" t="s">
        <v>301</v>
      </c>
      <c r="N123" s="41">
        <f t="shared" si="300"/>
        <v>2265792.5266666668</v>
      </c>
      <c r="O123" s="41">
        <f t="shared" si="301"/>
        <v>2265792.5266666668</v>
      </c>
      <c r="P123" s="41">
        <f t="shared" si="302"/>
        <v>2265792.5266666668</v>
      </c>
      <c r="Q123" s="41">
        <f t="shared" si="303"/>
        <v>2265792.5266666668</v>
      </c>
      <c r="R123" s="41">
        <f t="shared" si="304"/>
        <v>2265792.5266666668</v>
      </c>
      <c r="S123" s="333"/>
      <c r="T123" s="46" t="s">
        <v>276</v>
      </c>
      <c r="U123" s="41">
        <v>0</v>
      </c>
      <c r="V123" s="96">
        <f>-investice!AV17</f>
        <v>0</v>
      </c>
      <c r="W123" s="96">
        <f>-investice!AW17</f>
        <v>0</v>
      </c>
      <c r="X123" s="96">
        <f>-investice!AX17</f>
        <v>0</v>
      </c>
      <c r="Y123" s="96">
        <f>-investice!AY17</f>
        <v>0</v>
      </c>
      <c r="Z123" s="333"/>
      <c r="AA123" s="46" t="s">
        <v>276</v>
      </c>
      <c r="AB123" s="41">
        <v>0</v>
      </c>
      <c r="AC123" s="41">
        <f t="shared" si="305"/>
        <v>0</v>
      </c>
      <c r="AD123" s="41">
        <f t="shared" si="306"/>
        <v>0</v>
      </c>
      <c r="AE123" s="41">
        <f t="shared" si="307"/>
        <v>0</v>
      </c>
      <c r="AF123" s="41">
        <f t="shared" si="308"/>
        <v>0</v>
      </c>
      <c r="AH123" s="435">
        <f t="shared" si="238"/>
        <v>0</v>
      </c>
      <c r="AI123" s="435">
        <f t="shared" si="238"/>
        <v>0</v>
      </c>
      <c r="AJ123" s="435">
        <f t="shared" si="238"/>
        <v>0</v>
      </c>
      <c r="AK123" s="435">
        <f t="shared" si="238"/>
        <v>0</v>
      </c>
      <c r="AL123" s="435">
        <f t="shared" si="240"/>
        <v>0</v>
      </c>
      <c r="AM123" s="444"/>
    </row>
    <row r="124" spans="1:39" s="96" customFormat="1" ht="18.95" customHeight="1" outlineLevel="1">
      <c r="A124" s="39" t="s">
        <v>302</v>
      </c>
      <c r="B124" s="40" t="s">
        <v>303</v>
      </c>
      <c r="C124" s="41">
        <v>923753.62333333341</v>
      </c>
      <c r="D124" s="41">
        <v>1012772.5366666666</v>
      </c>
      <c r="E124" s="41">
        <v>1265784.3699999999</v>
      </c>
      <c r="F124" s="41">
        <v>1265815.8699999999</v>
      </c>
      <c r="G124" s="41">
        <f t="shared" si="309"/>
        <v>1265815.8699999999</v>
      </c>
      <c r="H124" s="41">
        <f t="shared" si="310"/>
        <v>1265815.8699999999</v>
      </c>
      <c r="I124" s="41">
        <f t="shared" si="310"/>
        <v>1265815.8699999999</v>
      </c>
      <c r="J124" s="41">
        <f t="shared" si="310"/>
        <v>1265815.8699999999</v>
      </c>
      <c r="K124" s="41">
        <f t="shared" si="310"/>
        <v>1265815.8699999999</v>
      </c>
      <c r="L124" s="333"/>
      <c r="M124" s="40" t="s">
        <v>303</v>
      </c>
      <c r="N124" s="41">
        <f t="shared" si="300"/>
        <v>1265815.8699999999</v>
      </c>
      <c r="O124" s="41">
        <f t="shared" si="301"/>
        <v>1265815.8699999999</v>
      </c>
      <c r="P124" s="41">
        <f t="shared" si="302"/>
        <v>1265815.8699999999</v>
      </c>
      <c r="Q124" s="41">
        <f t="shared" si="303"/>
        <v>1265815.8699999999</v>
      </c>
      <c r="R124" s="41">
        <f t="shared" si="304"/>
        <v>1265815.8699999999</v>
      </c>
      <c r="S124" s="333"/>
      <c r="T124" s="46" t="s">
        <v>276</v>
      </c>
      <c r="U124" s="41">
        <v>0</v>
      </c>
      <c r="V124" s="96" t="e">
        <f>-investice!#REF!</f>
        <v>#REF!</v>
      </c>
      <c r="W124" s="96" t="e">
        <f>-investice!#REF!</f>
        <v>#REF!</v>
      </c>
      <c r="X124" s="96" t="e">
        <f>-investice!#REF!</f>
        <v>#REF!</v>
      </c>
      <c r="Y124" s="96" t="e">
        <f>-investice!#REF!</f>
        <v>#REF!</v>
      </c>
      <c r="Z124" s="333"/>
      <c r="AA124" s="46" t="s">
        <v>276</v>
      </c>
      <c r="AB124" s="41">
        <v>0</v>
      </c>
      <c r="AC124" s="41">
        <f t="shared" si="305"/>
        <v>0</v>
      </c>
      <c r="AD124" s="41">
        <f t="shared" si="306"/>
        <v>0</v>
      </c>
      <c r="AE124" s="41">
        <f t="shared" si="307"/>
        <v>0</v>
      </c>
      <c r="AF124" s="41">
        <f t="shared" si="308"/>
        <v>0</v>
      </c>
      <c r="AH124" s="435">
        <f t="shared" si="238"/>
        <v>0</v>
      </c>
      <c r="AI124" s="435" t="e">
        <f t="shared" si="238"/>
        <v>#REF!</v>
      </c>
      <c r="AJ124" s="435" t="e">
        <f t="shared" si="238"/>
        <v>#REF!</v>
      </c>
      <c r="AK124" s="435" t="e">
        <f t="shared" si="238"/>
        <v>#REF!</v>
      </c>
      <c r="AL124" s="435" t="e">
        <f t="shared" si="240"/>
        <v>#REF!</v>
      </c>
      <c r="AM124" s="444"/>
    </row>
    <row r="125" spans="1:39" s="96" customFormat="1" ht="18.95" customHeight="1" outlineLevel="1">
      <c r="A125" s="39" t="s">
        <v>304</v>
      </c>
      <c r="B125" s="40" t="s">
        <v>305</v>
      </c>
      <c r="C125" s="41">
        <v>647219.46833333327</v>
      </c>
      <c r="D125" s="41">
        <v>678611.82333333336</v>
      </c>
      <c r="E125" s="41">
        <v>12166.666666666666</v>
      </c>
      <c r="F125" s="41">
        <v>70500</v>
      </c>
      <c r="G125" s="41">
        <f>F125-G100</f>
        <v>4970500</v>
      </c>
      <c r="H125" s="41">
        <f t="shared" ref="H125:K125" si="311">G125-H100</f>
        <v>4970500</v>
      </c>
      <c r="I125" s="41">
        <f t="shared" si="311"/>
        <v>4970500</v>
      </c>
      <c r="J125" s="41">
        <f t="shared" si="311"/>
        <v>4970500</v>
      </c>
      <c r="K125" s="41">
        <f t="shared" si="311"/>
        <v>4970500</v>
      </c>
      <c r="L125" s="333"/>
      <c r="M125" s="40" t="s">
        <v>305</v>
      </c>
      <c r="N125" s="41">
        <f t="shared" si="300"/>
        <v>4970500</v>
      </c>
      <c r="O125" s="41">
        <f t="shared" si="301"/>
        <v>4970500</v>
      </c>
      <c r="P125" s="41">
        <f t="shared" si="302"/>
        <v>4970500</v>
      </c>
      <c r="Q125" s="41">
        <f t="shared" si="303"/>
        <v>4970500</v>
      </c>
      <c r="R125" s="41">
        <f t="shared" si="304"/>
        <v>4970500</v>
      </c>
      <c r="S125" s="333"/>
      <c r="T125" s="46" t="s">
        <v>276</v>
      </c>
      <c r="U125" s="41">
        <v>0</v>
      </c>
      <c r="V125" s="96" t="e">
        <f>-investice!#REF!</f>
        <v>#REF!</v>
      </c>
      <c r="W125" s="96" t="e">
        <f>-investice!#REF!</f>
        <v>#REF!</v>
      </c>
      <c r="X125" s="96" t="e">
        <f>-investice!#REF!</f>
        <v>#REF!</v>
      </c>
      <c r="Y125" s="96" t="e">
        <f>-investice!#REF!</f>
        <v>#REF!</v>
      </c>
      <c r="Z125" s="333"/>
      <c r="AA125" s="46" t="s">
        <v>276</v>
      </c>
      <c r="AB125" s="41">
        <v>0</v>
      </c>
      <c r="AC125" s="41">
        <f t="shared" ref="AC125" si="312">AB125-AC100</f>
        <v>0</v>
      </c>
      <c r="AD125" s="41">
        <f t="shared" ref="AD125" si="313">AC125-AD100</f>
        <v>0</v>
      </c>
      <c r="AE125" s="41">
        <f t="shared" ref="AE125" si="314">AD125-AE100</f>
        <v>0</v>
      </c>
      <c r="AF125" s="41">
        <f t="shared" ref="AF125" si="315">AE125-AF100</f>
        <v>0</v>
      </c>
      <c r="AH125" s="435">
        <f t="shared" si="238"/>
        <v>0</v>
      </c>
      <c r="AI125" s="435" t="e">
        <f t="shared" si="238"/>
        <v>#REF!</v>
      </c>
      <c r="AJ125" s="435" t="e">
        <f t="shared" si="238"/>
        <v>#REF!</v>
      </c>
      <c r="AK125" s="435" t="e">
        <f t="shared" si="238"/>
        <v>#REF!</v>
      </c>
      <c r="AL125" s="435" t="e">
        <f t="shared" si="240"/>
        <v>#REF!</v>
      </c>
      <c r="AM125" s="444"/>
    </row>
    <row r="126" spans="1:39" s="96" customFormat="1" ht="18.95" customHeight="1" outlineLevel="1">
      <c r="A126" s="39" t="s">
        <v>306</v>
      </c>
      <c r="B126" s="40" t="s">
        <v>307</v>
      </c>
      <c r="C126" s="44">
        <v>0</v>
      </c>
      <c r="D126" s="44">
        <v>6887.0516666666672</v>
      </c>
      <c r="E126" s="44">
        <v>120333.33333333333</v>
      </c>
      <c r="F126" s="44">
        <v>7500</v>
      </c>
      <c r="G126" s="44">
        <f t="shared" si="309"/>
        <v>7500</v>
      </c>
      <c r="H126" s="44">
        <f t="shared" si="310"/>
        <v>7500</v>
      </c>
      <c r="I126" s="44">
        <f t="shared" si="310"/>
        <v>7500</v>
      </c>
      <c r="J126" s="44">
        <f t="shared" si="310"/>
        <v>7500</v>
      </c>
      <c r="K126" s="44">
        <f t="shared" si="310"/>
        <v>7500</v>
      </c>
      <c r="L126" s="333"/>
      <c r="M126" s="40" t="s">
        <v>307</v>
      </c>
      <c r="N126" s="44">
        <f t="shared" si="300"/>
        <v>7500</v>
      </c>
      <c r="O126" s="44">
        <f t="shared" si="301"/>
        <v>7500</v>
      </c>
      <c r="P126" s="44">
        <f t="shared" si="302"/>
        <v>7500</v>
      </c>
      <c r="Q126" s="44">
        <f t="shared" si="303"/>
        <v>7500</v>
      </c>
      <c r="R126" s="44">
        <f t="shared" si="304"/>
        <v>7500</v>
      </c>
      <c r="S126" s="333"/>
      <c r="T126" s="46" t="s">
        <v>276</v>
      </c>
      <c r="U126" s="44">
        <v>0</v>
      </c>
      <c r="V126" s="96" t="e">
        <f>-investice!#REF!</f>
        <v>#REF!</v>
      </c>
      <c r="W126" s="96" t="e">
        <f>-investice!#REF!</f>
        <v>#REF!</v>
      </c>
      <c r="X126" s="96" t="e">
        <f>-investice!#REF!</f>
        <v>#REF!</v>
      </c>
      <c r="Y126" s="96" t="e">
        <f>-investice!#REF!</f>
        <v>#REF!</v>
      </c>
      <c r="Z126" s="333"/>
      <c r="AA126" s="46" t="s">
        <v>276</v>
      </c>
      <c r="AB126" s="44">
        <v>0</v>
      </c>
      <c r="AC126" s="44">
        <f t="shared" ref="AC126" si="316">AB126</f>
        <v>0</v>
      </c>
      <c r="AD126" s="44">
        <f t="shared" ref="AD126" si="317">AC126</f>
        <v>0</v>
      </c>
      <c r="AE126" s="44">
        <f t="shared" ref="AE126" si="318">AD126</f>
        <v>0</v>
      </c>
      <c r="AF126" s="44">
        <f t="shared" ref="AF126" si="319">AE126</f>
        <v>0</v>
      </c>
      <c r="AH126" s="435">
        <f t="shared" si="238"/>
        <v>0</v>
      </c>
      <c r="AI126" s="435" t="e">
        <f t="shared" si="238"/>
        <v>#REF!</v>
      </c>
      <c r="AJ126" s="435" t="e">
        <f t="shared" si="238"/>
        <v>#REF!</v>
      </c>
      <c r="AK126" s="435" t="e">
        <f t="shared" si="238"/>
        <v>#REF!</v>
      </c>
      <c r="AL126" s="435" t="e">
        <f t="shared" si="240"/>
        <v>#REF!</v>
      </c>
      <c r="AM126" s="444"/>
    </row>
    <row r="127" spans="1:39" s="96" customFormat="1" ht="18.95" customHeight="1">
      <c r="A127" s="39"/>
      <c r="B127" s="322" t="s">
        <v>308</v>
      </c>
      <c r="C127" s="41">
        <f t="shared" ref="C127:F127" si="320">SUM(C121:C126)</f>
        <v>2967717.9866666668</v>
      </c>
      <c r="D127" s="41">
        <f t="shared" si="320"/>
        <v>3116606.9733333336</v>
      </c>
      <c r="E127" s="41">
        <f t="shared" si="320"/>
        <v>3467681.7549999999</v>
      </c>
      <c r="F127" s="41">
        <f t="shared" si="320"/>
        <v>3750244.7549999999</v>
      </c>
      <c r="G127" s="41">
        <f t="shared" ref="G127" si="321">SUM(G121:G126)</f>
        <v>8650244.754999999</v>
      </c>
      <c r="H127" s="41">
        <f t="shared" ref="H127:K127" si="322">SUM(H121:H126)</f>
        <v>8650244.754999999</v>
      </c>
      <c r="I127" s="41">
        <f t="shared" si="322"/>
        <v>8650244.754999999</v>
      </c>
      <c r="J127" s="41">
        <f t="shared" si="322"/>
        <v>8650244.754999999</v>
      </c>
      <c r="K127" s="41">
        <f t="shared" si="322"/>
        <v>8650244.754999999</v>
      </c>
      <c r="L127" s="333"/>
      <c r="M127" s="322" t="s">
        <v>308</v>
      </c>
      <c r="N127" s="41">
        <f t="shared" ref="N127" si="323">SUM(N121:N126)</f>
        <v>8650244.754999999</v>
      </c>
      <c r="O127" s="41">
        <f t="shared" ref="O127:R127" si="324">SUM(O121:O126)</f>
        <v>8650244.754999999</v>
      </c>
      <c r="P127" s="41">
        <f t="shared" si="324"/>
        <v>8650244.754999999</v>
      </c>
      <c r="Q127" s="41">
        <f t="shared" si="324"/>
        <v>8650244.754999999</v>
      </c>
      <c r="R127" s="41">
        <f t="shared" si="324"/>
        <v>8650244.754999999</v>
      </c>
      <c r="S127" s="333"/>
      <c r="T127" s="322" t="s">
        <v>308</v>
      </c>
      <c r="U127" s="41">
        <f t="shared" ref="U127" si="325">SUM(U121:U126)</f>
        <v>0</v>
      </c>
      <c r="V127" s="41" t="e">
        <f t="shared" ref="V127:Y127" si="326">SUM(V121:V126)</f>
        <v>#REF!</v>
      </c>
      <c r="W127" s="41" t="e">
        <f t="shared" si="326"/>
        <v>#REF!</v>
      </c>
      <c r="X127" s="41" t="e">
        <f t="shared" si="326"/>
        <v>#REF!</v>
      </c>
      <c r="Y127" s="41" t="e">
        <f t="shared" si="326"/>
        <v>#REF!</v>
      </c>
      <c r="Z127" s="333"/>
      <c r="AA127" s="322" t="s">
        <v>308</v>
      </c>
      <c r="AB127" s="41">
        <f t="shared" ref="AB127" si="327">SUM(AB121:AB126)</f>
        <v>0</v>
      </c>
      <c r="AC127" s="41">
        <f t="shared" ref="AC127:AF127" si="328">SUM(AC121:AC126)</f>
        <v>0</v>
      </c>
      <c r="AD127" s="41">
        <f t="shared" si="328"/>
        <v>0</v>
      </c>
      <c r="AE127" s="41">
        <f t="shared" si="328"/>
        <v>0</v>
      </c>
      <c r="AF127" s="41">
        <f t="shared" si="328"/>
        <v>0</v>
      </c>
      <c r="AH127" s="435">
        <f t="shared" si="238"/>
        <v>0</v>
      </c>
      <c r="AI127" s="435" t="e">
        <f t="shared" si="238"/>
        <v>#REF!</v>
      </c>
      <c r="AJ127" s="435" t="e">
        <f t="shared" si="238"/>
        <v>#REF!</v>
      </c>
      <c r="AK127" s="435" t="e">
        <f t="shared" si="238"/>
        <v>#REF!</v>
      </c>
      <c r="AL127" s="435" t="e">
        <f t="shared" si="240"/>
        <v>#REF!</v>
      </c>
      <c r="AM127" s="444"/>
    </row>
    <row r="128" spans="1:39" s="96" customFormat="1" ht="29.1" customHeight="1" outlineLevel="1">
      <c r="A128" s="39" t="s">
        <v>309</v>
      </c>
      <c r="B128" s="40" t="s">
        <v>310</v>
      </c>
      <c r="C128" s="41">
        <v>-24236.368333333336</v>
      </c>
      <c r="D128" s="41">
        <v>-24236.368333333336</v>
      </c>
      <c r="E128" s="41">
        <v>-24236.368333333336</v>
      </c>
      <c r="F128" s="41">
        <v>-41489.368333333339</v>
      </c>
      <c r="G128" s="41">
        <f t="shared" ref="G128" si="329">F128</f>
        <v>-41489.368333333339</v>
      </c>
      <c r="H128" s="41">
        <f t="shared" ref="H128:K128" si="330">G128</f>
        <v>-41489.368333333339</v>
      </c>
      <c r="I128" s="41">
        <f t="shared" si="330"/>
        <v>-41489.368333333339</v>
      </c>
      <c r="J128" s="41">
        <f t="shared" si="330"/>
        <v>-41489.368333333339</v>
      </c>
      <c r="K128" s="41">
        <f t="shared" si="330"/>
        <v>-41489.368333333339</v>
      </c>
      <c r="L128" s="333"/>
      <c r="M128" s="40" t="s">
        <v>310</v>
      </c>
      <c r="N128" s="41">
        <f t="shared" ref="N128:R130" si="331">G128</f>
        <v>-41489.368333333339</v>
      </c>
      <c r="O128" s="41">
        <f t="shared" si="331"/>
        <v>-41489.368333333339</v>
      </c>
      <c r="P128" s="41">
        <f t="shared" si="331"/>
        <v>-41489.368333333339</v>
      </c>
      <c r="Q128" s="41">
        <f t="shared" si="331"/>
        <v>-41489.368333333339</v>
      </c>
      <c r="R128" s="41">
        <f t="shared" si="331"/>
        <v>-41489.368333333339</v>
      </c>
      <c r="S128" s="333"/>
      <c r="T128" s="46" t="s">
        <v>276</v>
      </c>
      <c r="U128" s="41">
        <v>0</v>
      </c>
      <c r="V128" s="96" t="e">
        <f>-investice!#REF!</f>
        <v>#REF!</v>
      </c>
      <c r="W128" s="96" t="e">
        <f>-investice!#REF!</f>
        <v>#REF!</v>
      </c>
      <c r="X128" s="96" t="e">
        <f>-investice!#REF!</f>
        <v>#REF!</v>
      </c>
      <c r="Y128" s="96" t="e">
        <f>-investice!#REF!</f>
        <v>#REF!</v>
      </c>
      <c r="Z128" s="333"/>
      <c r="AA128" s="46" t="s">
        <v>276</v>
      </c>
      <c r="AB128" s="41">
        <v>0</v>
      </c>
      <c r="AC128" s="41">
        <f t="shared" ref="AC128" si="332">AB128</f>
        <v>0</v>
      </c>
      <c r="AD128" s="41">
        <f t="shared" ref="AD128" si="333">AC128</f>
        <v>0</v>
      </c>
      <c r="AE128" s="41">
        <f t="shared" ref="AE128" si="334">AD128</f>
        <v>0</v>
      </c>
      <c r="AF128" s="41">
        <f t="shared" ref="AF128" si="335">AE128</f>
        <v>0</v>
      </c>
      <c r="AH128" s="435">
        <f t="shared" si="238"/>
        <v>0</v>
      </c>
      <c r="AI128" s="435" t="e">
        <f t="shared" si="238"/>
        <v>#REF!</v>
      </c>
      <c r="AJ128" s="435" t="e">
        <f t="shared" si="238"/>
        <v>#REF!</v>
      </c>
      <c r="AK128" s="435" t="e">
        <f t="shared" si="238"/>
        <v>#REF!</v>
      </c>
      <c r="AL128" s="435" t="e">
        <f t="shared" si="240"/>
        <v>#REF!</v>
      </c>
      <c r="AM128" s="444"/>
    </row>
    <row r="129" spans="1:39" s="96" customFormat="1" ht="18.95" customHeight="1" outlineLevel="1">
      <c r="A129" s="39" t="s">
        <v>311</v>
      </c>
      <c r="B129" s="40" t="s">
        <v>312</v>
      </c>
      <c r="C129" s="41">
        <v>-593728.16666666663</v>
      </c>
      <c r="D129" s="41">
        <v>-638789.66666666663</v>
      </c>
      <c r="E129" s="41">
        <v>-720394.33333333337</v>
      </c>
      <c r="F129" s="41">
        <v>-808628.5</v>
      </c>
      <c r="G129" s="41">
        <f>F129-G58</f>
        <v>-1024596.7222222222</v>
      </c>
      <c r="H129" s="41">
        <f t="shared" ref="H129:K129" si="336">G129-H58</f>
        <v>-1240564.9444444445</v>
      </c>
      <c r="I129" s="41">
        <f t="shared" si="336"/>
        <v>-1456533.1666666667</v>
      </c>
      <c r="J129" s="41">
        <f t="shared" si="336"/>
        <v>-1672501.388888889</v>
      </c>
      <c r="K129" s="41">
        <f t="shared" si="336"/>
        <v>-1888469.6111111112</v>
      </c>
      <c r="L129" s="333"/>
      <c r="M129" s="40" t="s">
        <v>312</v>
      </c>
      <c r="N129" s="41">
        <f t="shared" si="331"/>
        <v>-1024596.7222222222</v>
      </c>
      <c r="O129" s="41">
        <f t="shared" si="331"/>
        <v>-1240564.9444444445</v>
      </c>
      <c r="P129" s="41">
        <f t="shared" si="331"/>
        <v>-1456533.1666666667</v>
      </c>
      <c r="Q129" s="41">
        <f t="shared" si="331"/>
        <v>-1672501.388888889</v>
      </c>
      <c r="R129" s="41">
        <f t="shared" si="331"/>
        <v>-1888469.6111111112</v>
      </c>
      <c r="S129" s="333"/>
      <c r="T129" s="46" t="s">
        <v>276</v>
      </c>
      <c r="U129" s="41">
        <v>0</v>
      </c>
      <c r="V129" s="96">
        <f>-investice!AV19</f>
        <v>0</v>
      </c>
      <c r="W129" s="96">
        <f>-investice!AW19</f>
        <v>0</v>
      </c>
      <c r="X129" s="96">
        <f>-investice!AX19</f>
        <v>0</v>
      </c>
      <c r="Y129" s="96">
        <f>-investice!AY19</f>
        <v>0</v>
      </c>
      <c r="Z129" s="333"/>
      <c r="AA129" s="46" t="s">
        <v>276</v>
      </c>
      <c r="AB129" s="41">
        <v>0</v>
      </c>
      <c r="AC129" s="41">
        <f t="shared" ref="AC129" si="337">AB129-AC58</f>
        <v>0</v>
      </c>
      <c r="AD129" s="41">
        <f t="shared" ref="AD129" si="338">AC129-AD58</f>
        <v>0</v>
      </c>
      <c r="AE129" s="41">
        <f t="shared" ref="AE129" si="339">AD129-AE58</f>
        <v>0</v>
      </c>
      <c r="AF129" s="41">
        <f t="shared" ref="AF129" si="340">AE129-AF58</f>
        <v>0</v>
      </c>
      <c r="AH129" s="435">
        <f t="shared" si="238"/>
        <v>0</v>
      </c>
      <c r="AI129" s="435">
        <f t="shared" si="238"/>
        <v>0</v>
      </c>
      <c r="AJ129" s="435">
        <f t="shared" si="238"/>
        <v>0</v>
      </c>
      <c r="AK129" s="435">
        <f t="shared" si="238"/>
        <v>0</v>
      </c>
      <c r="AL129" s="435">
        <f t="shared" si="240"/>
        <v>0</v>
      </c>
      <c r="AM129" s="444"/>
    </row>
    <row r="130" spans="1:39" s="96" customFormat="1" ht="18.95" customHeight="1" outlineLevel="1">
      <c r="A130" s="39" t="s">
        <v>313</v>
      </c>
      <c r="B130" s="40" t="s">
        <v>314</v>
      </c>
      <c r="C130" s="44">
        <v>-802563.58000000007</v>
      </c>
      <c r="D130" s="44">
        <v>-849671.2466666667</v>
      </c>
      <c r="E130" s="44">
        <v>-942827.41333333345</v>
      </c>
      <c r="F130" s="44">
        <v>-1051386.7466666668</v>
      </c>
      <c r="G130" s="44">
        <f>F130-G48-G71</f>
        <v>-1533644.08</v>
      </c>
      <c r="H130" s="44">
        <f t="shared" ref="H130:K130" si="341">G130-H48-H71</f>
        <v>-2015901.4133333333</v>
      </c>
      <c r="I130" s="44">
        <f t="shared" si="341"/>
        <v>-2498158.7466666666</v>
      </c>
      <c r="J130" s="44">
        <f t="shared" si="341"/>
        <v>-2980416.08</v>
      </c>
      <c r="K130" s="44">
        <f t="shared" si="341"/>
        <v>-3462673.4133333336</v>
      </c>
      <c r="L130" s="333"/>
      <c r="M130" s="40" t="s">
        <v>314</v>
      </c>
      <c r="N130" s="44">
        <f t="shared" si="331"/>
        <v>-1533644.08</v>
      </c>
      <c r="O130" s="44">
        <f t="shared" si="331"/>
        <v>-2015901.4133333333</v>
      </c>
      <c r="P130" s="44">
        <f t="shared" si="331"/>
        <v>-2498158.7466666666</v>
      </c>
      <c r="Q130" s="44">
        <f t="shared" si="331"/>
        <v>-2980416.08</v>
      </c>
      <c r="R130" s="44">
        <f t="shared" si="331"/>
        <v>-3462673.4133333336</v>
      </c>
      <c r="S130" s="333"/>
      <c r="T130" s="46" t="s">
        <v>276</v>
      </c>
      <c r="U130" s="44">
        <v>0</v>
      </c>
      <c r="V130" s="96">
        <f>-investice!AV20</f>
        <v>0</v>
      </c>
      <c r="W130" s="96">
        <f>-investice!AW20</f>
        <v>0</v>
      </c>
      <c r="X130" s="96">
        <f>-investice!AX20</f>
        <v>0</v>
      </c>
      <c r="Y130" s="96">
        <f>-investice!AY20</f>
        <v>0</v>
      </c>
      <c r="Z130" s="333"/>
      <c r="AA130" s="46" t="s">
        <v>276</v>
      </c>
      <c r="AB130" s="44">
        <v>0</v>
      </c>
      <c r="AC130" s="44" t="e">
        <f t="shared" ref="AC130" si="342">AB130-AC48-AC71</f>
        <v>#REF!</v>
      </c>
      <c r="AD130" s="44" t="e">
        <f t="shared" ref="AD130" si="343">AC130-AD48-AD71</f>
        <v>#REF!</v>
      </c>
      <c r="AE130" s="44" t="e">
        <f t="shared" ref="AE130" si="344">AD130-AE48-AE71</f>
        <v>#REF!</v>
      </c>
      <c r="AF130" s="44" t="e">
        <f t="shared" ref="AF130" si="345">AE130-AF48-AF71</f>
        <v>#REF!</v>
      </c>
      <c r="AH130" s="435">
        <f t="shared" si="238"/>
        <v>0</v>
      </c>
      <c r="AI130" s="435" t="e">
        <f t="shared" si="238"/>
        <v>#REF!</v>
      </c>
      <c r="AJ130" s="435" t="e">
        <f t="shared" si="238"/>
        <v>#REF!</v>
      </c>
      <c r="AK130" s="435" t="e">
        <f t="shared" si="238"/>
        <v>#REF!</v>
      </c>
      <c r="AL130" s="435" t="e">
        <f t="shared" si="240"/>
        <v>#REF!</v>
      </c>
      <c r="AM130" s="444"/>
    </row>
    <row r="131" spans="1:39" s="96" customFormat="1" ht="18.95" customHeight="1">
      <c r="A131" s="39"/>
      <c r="B131" s="322" t="s">
        <v>315</v>
      </c>
      <c r="C131" s="41">
        <f t="shared" ref="C131:F131" si="346">SUM(C128:C130)</f>
        <v>-1420528.115</v>
      </c>
      <c r="D131" s="41">
        <f t="shared" si="346"/>
        <v>-1512697.2816666667</v>
      </c>
      <c r="E131" s="41">
        <f t="shared" si="346"/>
        <v>-1687458.1150000002</v>
      </c>
      <c r="F131" s="41">
        <f t="shared" si="346"/>
        <v>-1901504.6150000002</v>
      </c>
      <c r="G131" s="41">
        <f t="shared" ref="G131" si="347">SUM(G128:G130)</f>
        <v>-2599730.1705555557</v>
      </c>
      <c r="H131" s="41">
        <f t="shared" ref="H131:K131" si="348">SUM(H128:H130)</f>
        <v>-3297955.7261111112</v>
      </c>
      <c r="I131" s="41">
        <f t="shared" si="348"/>
        <v>-3996181.2816666667</v>
      </c>
      <c r="J131" s="41">
        <f t="shared" si="348"/>
        <v>-4694406.8372222222</v>
      </c>
      <c r="K131" s="41">
        <f t="shared" si="348"/>
        <v>-5392632.3927777782</v>
      </c>
      <c r="L131" s="333"/>
      <c r="M131" s="322" t="s">
        <v>315</v>
      </c>
      <c r="N131" s="41">
        <f t="shared" ref="N131" si="349">SUM(N128:N130)</f>
        <v>-2599730.1705555557</v>
      </c>
      <c r="O131" s="41">
        <f t="shared" ref="O131:R131" si="350">SUM(O128:O130)</f>
        <v>-3297955.7261111112</v>
      </c>
      <c r="P131" s="41">
        <f t="shared" si="350"/>
        <v>-3996181.2816666667</v>
      </c>
      <c r="Q131" s="41">
        <f t="shared" si="350"/>
        <v>-4694406.8372222222</v>
      </c>
      <c r="R131" s="41">
        <f t="shared" si="350"/>
        <v>-5392632.3927777782</v>
      </c>
      <c r="S131" s="333"/>
      <c r="T131" s="322" t="s">
        <v>315</v>
      </c>
      <c r="U131" s="41">
        <f t="shared" ref="U131" si="351">SUM(U128:U130)</f>
        <v>0</v>
      </c>
      <c r="V131" s="41" t="e">
        <f t="shared" ref="V131:Y131" si="352">SUM(V128:V130)</f>
        <v>#REF!</v>
      </c>
      <c r="W131" s="41" t="e">
        <f t="shared" si="352"/>
        <v>#REF!</v>
      </c>
      <c r="X131" s="41" t="e">
        <f t="shared" si="352"/>
        <v>#REF!</v>
      </c>
      <c r="Y131" s="41" t="e">
        <f t="shared" si="352"/>
        <v>#REF!</v>
      </c>
      <c r="Z131" s="333"/>
      <c r="AA131" s="322" t="s">
        <v>315</v>
      </c>
      <c r="AB131" s="41">
        <f t="shared" ref="AB131" si="353">SUM(AB128:AB130)</f>
        <v>0</v>
      </c>
      <c r="AC131" s="41" t="e">
        <f t="shared" ref="AC131:AF131" si="354">SUM(AC128:AC130)</f>
        <v>#REF!</v>
      </c>
      <c r="AD131" s="41" t="e">
        <f t="shared" si="354"/>
        <v>#REF!</v>
      </c>
      <c r="AE131" s="41" t="e">
        <f t="shared" si="354"/>
        <v>#REF!</v>
      </c>
      <c r="AF131" s="41" t="e">
        <f t="shared" si="354"/>
        <v>#REF!</v>
      </c>
      <c r="AH131" s="435">
        <f t="shared" si="238"/>
        <v>0</v>
      </c>
      <c r="AI131" s="435" t="e">
        <f t="shared" si="238"/>
        <v>#REF!</v>
      </c>
      <c r="AJ131" s="435" t="e">
        <f t="shared" si="238"/>
        <v>#REF!</v>
      </c>
      <c r="AK131" s="435" t="e">
        <f t="shared" si="238"/>
        <v>#REF!</v>
      </c>
      <c r="AL131" s="435" t="e">
        <f t="shared" si="240"/>
        <v>#REF!</v>
      </c>
      <c r="AM131" s="444"/>
    </row>
    <row r="132" spans="1:39" s="326" customFormat="1" ht="27.95" customHeight="1">
      <c r="A132" s="323"/>
      <c r="B132" s="324" t="s">
        <v>316</v>
      </c>
      <c r="C132" s="325">
        <f t="shared" ref="C132:F132" si="355">C131+C127</f>
        <v>1547189.8716666668</v>
      </c>
      <c r="D132" s="325">
        <f t="shared" si="355"/>
        <v>1603909.6916666669</v>
      </c>
      <c r="E132" s="325">
        <f t="shared" si="355"/>
        <v>1780223.6399999997</v>
      </c>
      <c r="F132" s="325">
        <f t="shared" si="355"/>
        <v>1848740.1399999997</v>
      </c>
      <c r="G132" s="325">
        <f t="shared" ref="G132:K132" si="356">G131+G127</f>
        <v>6050514.5844444428</v>
      </c>
      <c r="H132" s="325">
        <f t="shared" si="356"/>
        <v>5352289.0288888877</v>
      </c>
      <c r="I132" s="325">
        <f t="shared" si="356"/>
        <v>4654063.4733333327</v>
      </c>
      <c r="J132" s="325">
        <f t="shared" si="356"/>
        <v>3955837.9177777767</v>
      </c>
      <c r="K132" s="325">
        <f t="shared" si="356"/>
        <v>3257612.3622222207</v>
      </c>
      <c r="L132" s="345"/>
      <c r="M132" s="324" t="s">
        <v>316</v>
      </c>
      <c r="N132" s="325">
        <f t="shared" ref="N132:R132" si="357">N131+N127</f>
        <v>6050514.5844444428</v>
      </c>
      <c r="O132" s="325">
        <f t="shared" si="357"/>
        <v>5352289.0288888877</v>
      </c>
      <c r="P132" s="325">
        <f t="shared" si="357"/>
        <v>4654063.4733333327</v>
      </c>
      <c r="Q132" s="325">
        <f t="shared" si="357"/>
        <v>3955837.9177777767</v>
      </c>
      <c r="R132" s="325">
        <f t="shared" si="357"/>
        <v>3257612.3622222207</v>
      </c>
      <c r="S132" s="345"/>
      <c r="T132" s="324" t="s">
        <v>316</v>
      </c>
      <c r="U132" s="325">
        <f t="shared" ref="U132:Y132" si="358">U131+U127</f>
        <v>0</v>
      </c>
      <c r="V132" s="325" t="e">
        <f t="shared" si="358"/>
        <v>#REF!</v>
      </c>
      <c r="W132" s="325" t="e">
        <f t="shared" si="358"/>
        <v>#REF!</v>
      </c>
      <c r="X132" s="325" t="e">
        <f t="shared" si="358"/>
        <v>#REF!</v>
      </c>
      <c r="Y132" s="325" t="e">
        <f t="shared" si="358"/>
        <v>#REF!</v>
      </c>
      <c r="Z132" s="345"/>
      <c r="AA132" s="324" t="s">
        <v>316</v>
      </c>
      <c r="AB132" s="325">
        <f t="shared" ref="AB132:AF132" si="359">AB131+AB127</f>
        <v>0</v>
      </c>
      <c r="AC132" s="325" t="e">
        <f t="shared" si="359"/>
        <v>#REF!</v>
      </c>
      <c r="AD132" s="325" t="e">
        <f t="shared" si="359"/>
        <v>#REF!</v>
      </c>
      <c r="AE132" s="325" t="e">
        <f t="shared" si="359"/>
        <v>#REF!</v>
      </c>
      <c r="AF132" s="325" t="e">
        <f t="shared" si="359"/>
        <v>#REF!</v>
      </c>
      <c r="AH132" s="435">
        <f t="shared" si="238"/>
        <v>0</v>
      </c>
      <c r="AI132" s="435" t="e">
        <f t="shared" si="238"/>
        <v>#REF!</v>
      </c>
      <c r="AJ132" s="435" t="e">
        <f t="shared" si="238"/>
        <v>#REF!</v>
      </c>
      <c r="AK132" s="435" t="e">
        <f t="shared" si="238"/>
        <v>#REF!</v>
      </c>
      <c r="AL132" s="435" t="e">
        <f t="shared" si="240"/>
        <v>#REF!</v>
      </c>
      <c r="AM132" s="444"/>
    </row>
    <row r="133" spans="1:39" s="96" customFormat="1" ht="29.1" customHeight="1" outlineLevel="1">
      <c r="A133" s="39" t="s">
        <v>317</v>
      </c>
      <c r="B133" s="40" t="s">
        <v>318</v>
      </c>
      <c r="C133" s="41">
        <v>1369899.9606416698</v>
      </c>
      <c r="D133" s="41">
        <v>2150232.8883361099</v>
      </c>
      <c r="E133" s="41">
        <v>3133820.395483328</v>
      </c>
      <c r="F133" s="41">
        <v>4417059.63333333</v>
      </c>
      <c r="G133" s="41">
        <f t="shared" ref="G133:G136" si="360">F133</f>
        <v>4417059.63333333</v>
      </c>
      <c r="H133" s="41">
        <f>G133</f>
        <v>4417059.63333333</v>
      </c>
      <c r="I133" s="41">
        <f t="shared" ref="I133:K133" si="361">H133</f>
        <v>4417059.63333333</v>
      </c>
      <c r="J133" s="41">
        <f t="shared" si="361"/>
        <v>4417059.63333333</v>
      </c>
      <c r="K133" s="41">
        <f t="shared" si="361"/>
        <v>4417059.63333333</v>
      </c>
      <c r="L133" s="333"/>
      <c r="M133" s="40" t="s">
        <v>318</v>
      </c>
      <c r="N133" s="41">
        <v>0</v>
      </c>
      <c r="O133" s="41">
        <f>N133</f>
        <v>0</v>
      </c>
      <c r="P133" s="41">
        <f t="shared" ref="P133" si="362">O133</f>
        <v>0</v>
      </c>
      <c r="Q133" s="41">
        <f t="shared" ref="Q133" si="363">P133</f>
        <v>0</v>
      </c>
      <c r="R133" s="41">
        <f t="shared" ref="R133" si="364">Q133</f>
        <v>0</v>
      </c>
      <c r="S133" s="333"/>
      <c r="T133" s="40" t="s">
        <v>318</v>
      </c>
      <c r="U133" s="41">
        <f>G133</f>
        <v>4417059.63333333</v>
      </c>
      <c r="V133" s="41">
        <f>U133</f>
        <v>4417059.63333333</v>
      </c>
      <c r="W133" s="41">
        <f t="shared" ref="W133" si="365">V133</f>
        <v>4417059.63333333</v>
      </c>
      <c r="X133" s="41">
        <f t="shared" ref="X133" si="366">W133</f>
        <v>4417059.63333333</v>
      </c>
      <c r="Y133" s="41">
        <f t="shared" ref="Y133" si="367">X133</f>
        <v>4417059.63333333</v>
      </c>
      <c r="Z133" s="333"/>
      <c r="AA133" s="40" t="s">
        <v>318</v>
      </c>
      <c r="AB133" s="41">
        <v>0</v>
      </c>
      <c r="AC133" s="41">
        <f>AB133</f>
        <v>0</v>
      </c>
      <c r="AD133" s="41">
        <f t="shared" ref="AD133:AD136" si="368">AC133</f>
        <v>0</v>
      </c>
      <c r="AE133" s="41">
        <f t="shared" ref="AE133:AE136" si="369">AD133</f>
        <v>0</v>
      </c>
      <c r="AF133" s="41">
        <f t="shared" ref="AF133:AF136" si="370">AE133</f>
        <v>0</v>
      </c>
      <c r="AH133" s="435">
        <f t="shared" si="238"/>
        <v>0</v>
      </c>
      <c r="AI133" s="435">
        <f t="shared" si="238"/>
        <v>0</v>
      </c>
      <c r="AJ133" s="435">
        <f t="shared" si="238"/>
        <v>0</v>
      </c>
      <c r="AK133" s="435">
        <f t="shared" si="238"/>
        <v>0</v>
      </c>
      <c r="AL133" s="435">
        <f t="shared" si="240"/>
        <v>0</v>
      </c>
      <c r="AM133" s="444"/>
    </row>
    <row r="134" spans="1:39" s="96" customFormat="1" ht="18.95" customHeight="1" outlineLevel="1">
      <c r="A134" s="39" t="s">
        <v>319</v>
      </c>
      <c r="B134" s="40" t="s">
        <v>320</v>
      </c>
      <c r="C134" s="41">
        <v>410642.33833333332</v>
      </c>
      <c r="D134" s="41">
        <v>474781.38000000006</v>
      </c>
      <c r="E134" s="41">
        <v>455622.75166666665</v>
      </c>
      <c r="F134" s="41">
        <v>662690.2466666667</v>
      </c>
      <c r="G134" s="41">
        <f t="shared" si="360"/>
        <v>662690.2466666667</v>
      </c>
      <c r="H134" s="41">
        <f t="shared" ref="H134:K136" si="371">G134</f>
        <v>662690.2466666667</v>
      </c>
      <c r="I134" s="41">
        <f t="shared" si="371"/>
        <v>662690.2466666667</v>
      </c>
      <c r="J134" s="41">
        <f t="shared" si="371"/>
        <v>662690.2466666667</v>
      </c>
      <c r="K134" s="41">
        <f t="shared" si="371"/>
        <v>662690.2466666667</v>
      </c>
      <c r="L134" s="333"/>
      <c r="M134" s="40" t="s">
        <v>320</v>
      </c>
      <c r="N134" s="41">
        <v>0</v>
      </c>
      <c r="O134" s="41">
        <f t="shared" ref="O134:O135" si="372">N134</f>
        <v>0</v>
      </c>
      <c r="P134" s="41">
        <f t="shared" ref="P134:P137" si="373">O134</f>
        <v>0</v>
      </c>
      <c r="Q134" s="41">
        <f t="shared" ref="Q134:Q137" si="374">P134</f>
        <v>0</v>
      </c>
      <c r="R134" s="41">
        <f t="shared" ref="R134:R137" si="375">Q134</f>
        <v>0</v>
      </c>
      <c r="S134" s="333"/>
      <c r="T134" s="40" t="s">
        <v>318</v>
      </c>
      <c r="U134" s="41">
        <f t="shared" ref="U134:U135" si="376">G134</f>
        <v>662690.2466666667</v>
      </c>
      <c r="V134" s="41">
        <f t="shared" ref="V134:V135" si="377">U134</f>
        <v>662690.2466666667</v>
      </c>
      <c r="W134" s="41">
        <f t="shared" ref="W134:W137" si="378">V134</f>
        <v>662690.2466666667</v>
      </c>
      <c r="X134" s="41">
        <f t="shared" ref="X134:X137" si="379">W134</f>
        <v>662690.2466666667</v>
      </c>
      <c r="Y134" s="41">
        <f t="shared" ref="Y134:Y137" si="380">X134</f>
        <v>662690.2466666667</v>
      </c>
      <c r="Z134" s="333"/>
      <c r="AA134" s="40" t="s">
        <v>318</v>
      </c>
      <c r="AB134" s="41">
        <v>0</v>
      </c>
      <c r="AC134" s="41">
        <f t="shared" ref="AC134:AC136" si="381">AB134</f>
        <v>0</v>
      </c>
      <c r="AD134" s="41">
        <f t="shared" si="368"/>
        <v>0</v>
      </c>
      <c r="AE134" s="41">
        <f t="shared" si="369"/>
        <v>0</v>
      </c>
      <c r="AF134" s="41">
        <f t="shared" si="370"/>
        <v>0</v>
      </c>
      <c r="AH134" s="435">
        <f t="shared" si="238"/>
        <v>0</v>
      </c>
      <c r="AI134" s="435">
        <f t="shared" si="238"/>
        <v>0</v>
      </c>
      <c r="AJ134" s="435">
        <f t="shared" si="238"/>
        <v>0</v>
      </c>
      <c r="AK134" s="435">
        <f t="shared" si="238"/>
        <v>0</v>
      </c>
      <c r="AL134" s="435">
        <f t="shared" si="240"/>
        <v>0</v>
      </c>
      <c r="AM134" s="444"/>
    </row>
    <row r="135" spans="1:39" s="96" customFormat="1" ht="18.95" customHeight="1" outlineLevel="1">
      <c r="A135" s="39" t="s">
        <v>321</v>
      </c>
      <c r="B135" s="40" t="s">
        <v>322</v>
      </c>
      <c r="C135" s="41">
        <v>1568454.6433333335</v>
      </c>
      <c r="D135" s="41">
        <v>1556807.875</v>
      </c>
      <c r="E135" s="41">
        <v>1421891.4950000001</v>
      </c>
      <c r="F135" s="41">
        <v>2241898.2833333299</v>
      </c>
      <c r="G135" s="41">
        <f t="shared" si="360"/>
        <v>2241898.2833333299</v>
      </c>
      <c r="H135" s="41">
        <f t="shared" si="371"/>
        <v>2241898.2833333299</v>
      </c>
      <c r="I135" s="41">
        <f t="shared" si="371"/>
        <v>2241898.2833333299</v>
      </c>
      <c r="J135" s="41">
        <f t="shared" si="371"/>
        <v>2241898.2833333299</v>
      </c>
      <c r="K135" s="41">
        <f t="shared" si="371"/>
        <v>2241898.2833333299</v>
      </c>
      <c r="L135" s="333"/>
      <c r="M135" s="40" t="s">
        <v>322</v>
      </c>
      <c r="N135" s="41">
        <v>0</v>
      </c>
      <c r="O135" s="41">
        <f t="shared" si="372"/>
        <v>0</v>
      </c>
      <c r="P135" s="41">
        <f t="shared" si="373"/>
        <v>0</v>
      </c>
      <c r="Q135" s="41">
        <f t="shared" si="374"/>
        <v>0</v>
      </c>
      <c r="R135" s="41">
        <f t="shared" si="375"/>
        <v>0</v>
      </c>
      <c r="S135" s="333"/>
      <c r="T135" s="40" t="s">
        <v>318</v>
      </c>
      <c r="U135" s="41">
        <f t="shared" si="376"/>
        <v>2241898.2833333299</v>
      </c>
      <c r="V135" s="41">
        <f t="shared" si="377"/>
        <v>2241898.2833333299</v>
      </c>
      <c r="W135" s="41">
        <f t="shared" si="378"/>
        <v>2241898.2833333299</v>
      </c>
      <c r="X135" s="41">
        <f t="shared" si="379"/>
        <v>2241898.2833333299</v>
      </c>
      <c r="Y135" s="41">
        <f t="shared" si="380"/>
        <v>2241898.2833333299</v>
      </c>
      <c r="Z135" s="333"/>
      <c r="AA135" s="40" t="s">
        <v>318</v>
      </c>
      <c r="AB135" s="41">
        <v>0</v>
      </c>
      <c r="AC135" s="41">
        <f t="shared" si="381"/>
        <v>0</v>
      </c>
      <c r="AD135" s="41">
        <f t="shared" si="368"/>
        <v>0</v>
      </c>
      <c r="AE135" s="41">
        <f t="shared" si="369"/>
        <v>0</v>
      </c>
      <c r="AF135" s="41">
        <f t="shared" si="370"/>
        <v>0</v>
      </c>
      <c r="AH135" s="435">
        <f t="shared" si="238"/>
        <v>0</v>
      </c>
      <c r="AI135" s="435">
        <f t="shared" si="238"/>
        <v>0</v>
      </c>
      <c r="AJ135" s="435">
        <f t="shared" si="238"/>
        <v>0</v>
      </c>
      <c r="AK135" s="435">
        <f t="shared" si="238"/>
        <v>0</v>
      </c>
      <c r="AL135" s="435">
        <f t="shared" si="240"/>
        <v>0</v>
      </c>
      <c r="AM135" s="444"/>
    </row>
    <row r="136" spans="1:39" s="96" customFormat="1" ht="18.95" customHeight="1" outlineLevel="1">
      <c r="A136" s="39" t="s">
        <v>323</v>
      </c>
      <c r="B136" s="40" t="s">
        <v>74</v>
      </c>
      <c r="C136" s="41">
        <v>579832.77333333332</v>
      </c>
      <c r="D136" s="41">
        <v>765449.07666666666</v>
      </c>
      <c r="E136" s="41">
        <v>783471.9966666667</v>
      </c>
      <c r="F136" s="41">
        <v>1118165.1283333334</v>
      </c>
      <c r="G136" s="41">
        <f t="shared" si="360"/>
        <v>1118165.1283333334</v>
      </c>
      <c r="H136" s="41">
        <f t="shared" si="371"/>
        <v>1118165.1283333334</v>
      </c>
      <c r="I136" s="41">
        <f t="shared" si="371"/>
        <v>1118165.1283333334</v>
      </c>
      <c r="J136" s="41">
        <f t="shared" si="371"/>
        <v>1118165.1283333334</v>
      </c>
      <c r="K136" s="41">
        <f t="shared" si="371"/>
        <v>1118165.1283333334</v>
      </c>
      <c r="L136" s="333"/>
      <c r="M136" s="40" t="s">
        <v>74</v>
      </c>
      <c r="N136" s="41">
        <v>0</v>
      </c>
      <c r="O136" s="41">
        <f>N136</f>
        <v>0</v>
      </c>
      <c r="P136" s="41">
        <f t="shared" si="373"/>
        <v>0</v>
      </c>
      <c r="Q136" s="41">
        <f t="shared" si="374"/>
        <v>0</v>
      </c>
      <c r="R136" s="41">
        <f t="shared" si="375"/>
        <v>0</v>
      </c>
      <c r="S136" s="333"/>
      <c r="T136" s="40" t="s">
        <v>318</v>
      </c>
      <c r="U136" s="41">
        <v>0</v>
      </c>
      <c r="V136" s="41">
        <f>U136</f>
        <v>0</v>
      </c>
      <c r="W136" s="41">
        <f t="shared" si="378"/>
        <v>0</v>
      </c>
      <c r="X136" s="41">
        <f t="shared" si="379"/>
        <v>0</v>
      </c>
      <c r="Y136" s="41">
        <f t="shared" si="380"/>
        <v>0</v>
      </c>
      <c r="Z136" s="333"/>
      <c r="AA136" s="40" t="s">
        <v>318</v>
      </c>
      <c r="AB136" s="41">
        <f>G136</f>
        <v>1118165.1283333334</v>
      </c>
      <c r="AC136" s="41">
        <f t="shared" si="381"/>
        <v>1118165.1283333334</v>
      </c>
      <c r="AD136" s="41">
        <f t="shared" si="368"/>
        <v>1118165.1283333334</v>
      </c>
      <c r="AE136" s="41">
        <f t="shared" si="369"/>
        <v>1118165.1283333334</v>
      </c>
      <c r="AF136" s="41">
        <f t="shared" si="370"/>
        <v>1118165.1283333334</v>
      </c>
      <c r="AH136" s="435">
        <f t="shared" si="238"/>
        <v>0</v>
      </c>
      <c r="AI136" s="435">
        <f t="shared" si="238"/>
        <v>0</v>
      </c>
      <c r="AJ136" s="435">
        <f t="shared" si="238"/>
        <v>0</v>
      </c>
      <c r="AK136" s="435">
        <f t="shared" si="238"/>
        <v>0</v>
      </c>
      <c r="AL136" s="435">
        <f t="shared" si="240"/>
        <v>0</v>
      </c>
      <c r="AM136" s="444"/>
    </row>
    <row r="137" spans="1:39" s="96" customFormat="1" ht="18.95" customHeight="1" outlineLevel="1">
      <c r="A137" s="39" t="s">
        <v>324</v>
      </c>
      <c r="B137" s="40" t="s">
        <v>325</v>
      </c>
      <c r="C137" s="44">
        <v>0</v>
      </c>
      <c r="D137" s="44">
        <v>0</v>
      </c>
      <c r="E137" s="44">
        <v>0</v>
      </c>
      <c r="F137" s="44">
        <v>-125767.83333333333</v>
      </c>
      <c r="G137" s="44">
        <f>F137-G62</f>
        <v>-125767.83333333333</v>
      </c>
      <c r="H137" s="44">
        <f t="shared" ref="H137:K137" si="382">G137-H62</f>
        <v>-125767.83333333333</v>
      </c>
      <c r="I137" s="44">
        <f t="shared" si="382"/>
        <v>-125767.83333333333</v>
      </c>
      <c r="J137" s="44">
        <f t="shared" si="382"/>
        <v>-125767.83333333333</v>
      </c>
      <c r="K137" s="44">
        <f t="shared" si="382"/>
        <v>-125767.83333333333</v>
      </c>
      <c r="L137" s="333"/>
      <c r="M137" s="40" t="s">
        <v>325</v>
      </c>
      <c r="N137" s="44">
        <v>0</v>
      </c>
      <c r="O137" s="41">
        <f>N137</f>
        <v>0</v>
      </c>
      <c r="P137" s="41">
        <f t="shared" si="373"/>
        <v>0</v>
      </c>
      <c r="Q137" s="41">
        <f t="shared" si="374"/>
        <v>0</v>
      </c>
      <c r="R137" s="41">
        <f t="shared" si="375"/>
        <v>0</v>
      </c>
      <c r="S137" s="333"/>
      <c r="T137" s="40" t="s">
        <v>318</v>
      </c>
      <c r="U137" s="44">
        <f>G137</f>
        <v>-125767.83333333333</v>
      </c>
      <c r="V137" s="41">
        <f>U137</f>
        <v>-125767.83333333333</v>
      </c>
      <c r="W137" s="41">
        <f t="shared" si="378"/>
        <v>-125767.83333333333</v>
      </c>
      <c r="X137" s="41">
        <f t="shared" si="379"/>
        <v>-125767.83333333333</v>
      </c>
      <c r="Y137" s="41">
        <f t="shared" si="380"/>
        <v>-125767.83333333333</v>
      </c>
      <c r="Z137" s="333"/>
      <c r="AA137" s="40" t="s">
        <v>318</v>
      </c>
      <c r="AB137" s="44">
        <v>0</v>
      </c>
      <c r="AC137" s="44">
        <f t="shared" ref="AC137" si="383">AB137-AC62</f>
        <v>0</v>
      </c>
      <c r="AD137" s="44">
        <f t="shared" ref="AD137" si="384">AC137-AD62</f>
        <v>0</v>
      </c>
      <c r="AE137" s="44">
        <f t="shared" ref="AE137" si="385">AD137-AE62</f>
        <v>0</v>
      </c>
      <c r="AF137" s="44">
        <f t="shared" ref="AF137" si="386">AE137-AF62</f>
        <v>0</v>
      </c>
      <c r="AH137" s="435">
        <f t="shared" si="238"/>
        <v>0</v>
      </c>
      <c r="AI137" s="435">
        <f t="shared" si="238"/>
        <v>0</v>
      </c>
      <c r="AJ137" s="435">
        <f t="shared" si="238"/>
        <v>0</v>
      </c>
      <c r="AK137" s="435">
        <f t="shared" si="238"/>
        <v>0</v>
      </c>
      <c r="AL137" s="435">
        <f t="shared" si="240"/>
        <v>0</v>
      </c>
      <c r="AM137" s="444"/>
    </row>
    <row r="138" spans="1:39" s="96" customFormat="1" ht="18.95" customHeight="1">
      <c r="A138" s="39"/>
      <c r="B138" s="322" t="s">
        <v>326</v>
      </c>
      <c r="C138" s="41">
        <f t="shared" ref="C138:F138" si="387">SUM(C133:C137)</f>
        <v>3928829.7156416699</v>
      </c>
      <c r="D138" s="41">
        <f t="shared" si="387"/>
        <v>4947271.220002776</v>
      </c>
      <c r="E138" s="41">
        <f t="shared" si="387"/>
        <v>5794806.6388166612</v>
      </c>
      <c r="F138" s="41">
        <f t="shared" si="387"/>
        <v>8314045.4583333274</v>
      </c>
      <c r="G138" s="41">
        <f t="shared" ref="G138" si="388">SUM(G133:G137)</f>
        <v>8314045.4583333274</v>
      </c>
      <c r="H138" s="41">
        <f t="shared" ref="H138:K138" si="389">SUM(H133:H137)</f>
        <v>8314045.4583333274</v>
      </c>
      <c r="I138" s="41">
        <f t="shared" si="389"/>
        <v>8314045.4583333274</v>
      </c>
      <c r="J138" s="41">
        <f t="shared" si="389"/>
        <v>8314045.4583333274</v>
      </c>
      <c r="K138" s="41">
        <f t="shared" si="389"/>
        <v>8314045.4583333274</v>
      </c>
      <c r="L138" s="333"/>
      <c r="M138" s="322" t="s">
        <v>326</v>
      </c>
      <c r="N138" s="41">
        <f t="shared" ref="N138:R138" si="390">SUM(N133:N137)</f>
        <v>0</v>
      </c>
      <c r="O138" s="41">
        <f t="shared" si="390"/>
        <v>0</v>
      </c>
      <c r="P138" s="41">
        <f t="shared" si="390"/>
        <v>0</v>
      </c>
      <c r="Q138" s="41">
        <f t="shared" si="390"/>
        <v>0</v>
      </c>
      <c r="R138" s="41">
        <f t="shared" si="390"/>
        <v>0</v>
      </c>
      <c r="S138" s="333"/>
      <c r="T138" s="322" t="s">
        <v>326</v>
      </c>
      <c r="U138" s="41">
        <f t="shared" ref="U138:Y138" si="391">SUM(U133:U137)</f>
        <v>7195880.3299999936</v>
      </c>
      <c r="V138" s="41">
        <f t="shared" si="391"/>
        <v>7195880.3299999936</v>
      </c>
      <c r="W138" s="41">
        <f t="shared" si="391"/>
        <v>7195880.3299999936</v>
      </c>
      <c r="X138" s="41">
        <f t="shared" si="391"/>
        <v>7195880.3299999936</v>
      </c>
      <c r="Y138" s="41">
        <f t="shared" si="391"/>
        <v>7195880.3299999936</v>
      </c>
      <c r="Z138" s="333"/>
      <c r="AA138" s="322" t="s">
        <v>326</v>
      </c>
      <c r="AB138" s="41">
        <f t="shared" ref="AB138:AF138" si="392">SUM(AB133:AB137)</f>
        <v>1118165.1283333334</v>
      </c>
      <c r="AC138" s="41">
        <f t="shared" si="392"/>
        <v>1118165.1283333334</v>
      </c>
      <c r="AD138" s="41">
        <f t="shared" si="392"/>
        <v>1118165.1283333334</v>
      </c>
      <c r="AE138" s="41">
        <f t="shared" si="392"/>
        <v>1118165.1283333334</v>
      </c>
      <c r="AF138" s="41">
        <f t="shared" si="392"/>
        <v>1118165.1283333334</v>
      </c>
      <c r="AH138" s="435">
        <f t="shared" si="238"/>
        <v>0</v>
      </c>
      <c r="AI138" s="435">
        <f t="shared" si="238"/>
        <v>0</v>
      </c>
      <c r="AJ138" s="435">
        <f t="shared" si="238"/>
        <v>0</v>
      </c>
      <c r="AK138" s="435">
        <f t="shared" si="238"/>
        <v>0</v>
      </c>
      <c r="AL138" s="435">
        <f t="shared" si="240"/>
        <v>0</v>
      </c>
      <c r="AM138" s="444"/>
    </row>
    <row r="139" spans="1:39" s="96" customFormat="1" ht="29.1" customHeight="1" outlineLevel="1">
      <c r="A139" s="39" t="s">
        <v>327</v>
      </c>
      <c r="B139" s="40" t="s">
        <v>328</v>
      </c>
      <c r="C139" s="41">
        <v>174174.22833333333</v>
      </c>
      <c r="D139" s="41">
        <v>128505.37833333334</v>
      </c>
      <c r="E139" s="41">
        <v>151208.33499999999</v>
      </c>
      <c r="F139" s="41">
        <v>77017.808333333334</v>
      </c>
      <c r="G139" s="41">
        <v>100000</v>
      </c>
      <c r="H139" s="41">
        <v>100000</v>
      </c>
      <c r="I139" s="41">
        <v>100000</v>
      </c>
      <c r="J139" s="41">
        <v>100000</v>
      </c>
      <c r="K139" s="41">
        <v>100000</v>
      </c>
      <c r="L139" s="333"/>
      <c r="M139" s="40" t="s">
        <v>328</v>
      </c>
      <c r="N139" s="41">
        <f>+G139-U139-AB139</f>
        <v>60000</v>
      </c>
      <c r="O139" s="41">
        <v>100000</v>
      </c>
      <c r="P139" s="41">
        <v>100000</v>
      </c>
      <c r="Q139" s="41">
        <v>100000</v>
      </c>
      <c r="R139" s="41">
        <v>100000</v>
      </c>
      <c r="S139" s="333"/>
      <c r="T139" s="40" t="s">
        <v>328</v>
      </c>
      <c r="U139" s="41">
        <v>20000</v>
      </c>
      <c r="V139" s="41">
        <v>100000</v>
      </c>
      <c r="W139" s="41">
        <v>100000</v>
      </c>
      <c r="X139" s="41">
        <v>100000</v>
      </c>
      <c r="Y139" s="41">
        <v>100000</v>
      </c>
      <c r="Z139" s="333"/>
      <c r="AA139" s="40" t="s">
        <v>328</v>
      </c>
      <c r="AB139" s="41">
        <v>20000</v>
      </c>
      <c r="AC139" s="41">
        <v>100000</v>
      </c>
      <c r="AD139" s="41">
        <v>100000</v>
      </c>
      <c r="AE139" s="41">
        <v>100000</v>
      </c>
      <c r="AF139" s="41">
        <v>100000</v>
      </c>
      <c r="AH139" s="435">
        <f t="shared" si="238"/>
        <v>0</v>
      </c>
      <c r="AI139" s="435">
        <f t="shared" si="238"/>
        <v>-200000</v>
      </c>
      <c r="AJ139" s="435">
        <f t="shared" si="238"/>
        <v>-200000</v>
      </c>
      <c r="AK139" s="435">
        <f t="shared" si="238"/>
        <v>-200000</v>
      </c>
      <c r="AL139" s="435">
        <f t="shared" si="240"/>
        <v>-200000</v>
      </c>
      <c r="AM139" s="444"/>
    </row>
    <row r="140" spans="1:39" s="96" customFormat="1" ht="18.95" customHeight="1" outlineLevel="1">
      <c r="A140" s="39" t="s">
        <v>329</v>
      </c>
      <c r="B140" s="40" t="s">
        <v>330</v>
      </c>
      <c r="C140" s="44">
        <v>7835915.96</v>
      </c>
      <c r="D140" s="44">
        <v>9028052.6899999995</v>
      </c>
      <c r="E140" s="44">
        <v>11305463.74</v>
      </c>
      <c r="F140" s="44">
        <v>11792968.713333333</v>
      </c>
      <c r="G140" s="44">
        <f>G118-G139</f>
        <v>9258940.2232485041</v>
      </c>
      <c r="H140" s="44">
        <f t="shared" ref="H140:K140" si="393">H118-H139</f>
        <v>22498652.40203017</v>
      </c>
      <c r="I140" s="44">
        <f t="shared" si="393"/>
        <v>33355106.224475984</v>
      </c>
      <c r="J140" s="44">
        <f t="shared" si="393"/>
        <v>44211560.046921797</v>
      </c>
      <c r="K140" s="44">
        <f t="shared" si="393"/>
        <v>55068013.869367614</v>
      </c>
      <c r="L140" s="333"/>
      <c r="M140" s="40" t="s">
        <v>330</v>
      </c>
      <c r="N140" s="44" t="e">
        <f>N118-N139</f>
        <v>#REF!</v>
      </c>
      <c r="O140" s="44" t="e">
        <f t="shared" ref="O140:R140" si="394">O118-O139</f>
        <v>#REF!</v>
      </c>
      <c r="P140" s="44" t="e">
        <f t="shared" si="394"/>
        <v>#REF!</v>
      </c>
      <c r="Q140" s="44" t="e">
        <f t="shared" si="394"/>
        <v>#REF!</v>
      </c>
      <c r="R140" s="44" t="e">
        <f t="shared" si="394"/>
        <v>#REF!</v>
      </c>
      <c r="S140" s="333"/>
      <c r="T140" s="40" t="s">
        <v>330</v>
      </c>
      <c r="U140" s="44" t="e">
        <f>U118-U139</f>
        <v>#REF!</v>
      </c>
      <c r="V140" s="44" t="e">
        <f t="shared" ref="V140:Y140" si="395">V118-V139</f>
        <v>#REF!</v>
      </c>
      <c r="W140" s="44" t="e">
        <f t="shared" si="395"/>
        <v>#REF!</v>
      </c>
      <c r="X140" s="44" t="e">
        <f t="shared" si="395"/>
        <v>#REF!</v>
      </c>
      <c r="Y140" s="44" t="e">
        <f t="shared" si="395"/>
        <v>#REF!</v>
      </c>
      <c r="Z140" s="333"/>
      <c r="AA140" s="40" t="s">
        <v>330</v>
      </c>
      <c r="AB140" s="44" t="e">
        <f>AB118-AB139</f>
        <v>#REF!</v>
      </c>
      <c r="AC140" s="44" t="e">
        <f t="shared" ref="AC140:AF140" si="396">AC118-AC139</f>
        <v>#REF!</v>
      </c>
      <c r="AD140" s="44" t="e">
        <f t="shared" si="396"/>
        <v>#REF!</v>
      </c>
      <c r="AE140" s="44" t="e">
        <f t="shared" si="396"/>
        <v>#REF!</v>
      </c>
      <c r="AF140" s="44" t="e">
        <f t="shared" si="396"/>
        <v>#REF!</v>
      </c>
      <c r="AH140" s="435" t="e">
        <f t="shared" si="238"/>
        <v>#REF!</v>
      </c>
      <c r="AI140" s="435" t="e">
        <f t="shared" si="238"/>
        <v>#REF!</v>
      </c>
      <c r="AJ140" s="435" t="e">
        <f t="shared" si="238"/>
        <v>#REF!</v>
      </c>
      <c r="AK140" s="435" t="e">
        <f t="shared" si="238"/>
        <v>#REF!</v>
      </c>
      <c r="AL140" s="435" t="e">
        <f t="shared" si="240"/>
        <v>#REF!</v>
      </c>
      <c r="AM140" s="444"/>
    </row>
    <row r="141" spans="1:39" s="96" customFormat="1" ht="18.95" customHeight="1">
      <c r="A141" s="39"/>
      <c r="B141" s="322" t="s">
        <v>331</v>
      </c>
      <c r="C141" s="41">
        <f t="shared" ref="C141:F141" si="397">SUM(C139:C140)</f>
        <v>8010090.1883333335</v>
      </c>
      <c r="D141" s="41">
        <f t="shared" si="397"/>
        <v>9156558.0683333334</v>
      </c>
      <c r="E141" s="41">
        <f t="shared" si="397"/>
        <v>11456672.075000001</v>
      </c>
      <c r="F141" s="41">
        <f t="shared" si="397"/>
        <v>11869986.521666666</v>
      </c>
      <c r="G141" s="41">
        <f t="shared" ref="G141:K141" si="398">SUM(G139:G140)</f>
        <v>9358940.2232485041</v>
      </c>
      <c r="H141" s="41">
        <f t="shared" si="398"/>
        <v>22598652.40203017</v>
      </c>
      <c r="I141" s="41">
        <f t="shared" si="398"/>
        <v>33455106.224475984</v>
      </c>
      <c r="J141" s="41">
        <f t="shared" si="398"/>
        <v>44311560.046921797</v>
      </c>
      <c r="K141" s="41">
        <f t="shared" si="398"/>
        <v>55168013.869367614</v>
      </c>
      <c r="L141" s="333"/>
      <c r="M141" s="322" t="s">
        <v>331</v>
      </c>
      <c r="N141" s="41" t="e">
        <f t="shared" ref="N141:R141" si="399">SUM(N139:N140)</f>
        <v>#REF!</v>
      </c>
      <c r="O141" s="41" t="e">
        <f t="shared" si="399"/>
        <v>#REF!</v>
      </c>
      <c r="P141" s="41" t="e">
        <f t="shared" si="399"/>
        <v>#REF!</v>
      </c>
      <c r="Q141" s="41" t="e">
        <f t="shared" si="399"/>
        <v>#REF!</v>
      </c>
      <c r="R141" s="41" t="e">
        <f t="shared" si="399"/>
        <v>#REF!</v>
      </c>
      <c r="S141" s="333"/>
      <c r="T141" s="322" t="s">
        <v>331</v>
      </c>
      <c r="U141" s="41" t="e">
        <f t="shared" ref="U141:Y141" si="400">SUM(U139:U140)</f>
        <v>#REF!</v>
      </c>
      <c r="V141" s="41" t="e">
        <f t="shared" si="400"/>
        <v>#REF!</v>
      </c>
      <c r="W141" s="41" t="e">
        <f t="shared" si="400"/>
        <v>#REF!</v>
      </c>
      <c r="X141" s="41" t="e">
        <f t="shared" si="400"/>
        <v>#REF!</v>
      </c>
      <c r="Y141" s="41" t="e">
        <f t="shared" si="400"/>
        <v>#REF!</v>
      </c>
      <c r="Z141" s="333"/>
      <c r="AA141" s="322" t="s">
        <v>331</v>
      </c>
      <c r="AB141" s="41" t="e">
        <f t="shared" ref="AB141:AF141" si="401">SUM(AB139:AB140)</f>
        <v>#REF!</v>
      </c>
      <c r="AC141" s="41" t="e">
        <f t="shared" si="401"/>
        <v>#REF!</v>
      </c>
      <c r="AD141" s="41" t="e">
        <f t="shared" si="401"/>
        <v>#REF!</v>
      </c>
      <c r="AE141" s="41" t="e">
        <f t="shared" si="401"/>
        <v>#REF!</v>
      </c>
      <c r="AF141" s="41" t="e">
        <f t="shared" si="401"/>
        <v>#REF!</v>
      </c>
      <c r="AH141" s="435" t="e">
        <f t="shared" si="238"/>
        <v>#REF!</v>
      </c>
      <c r="AI141" s="435" t="e">
        <f t="shared" si="238"/>
        <v>#REF!</v>
      </c>
      <c r="AJ141" s="435" t="e">
        <f t="shared" si="238"/>
        <v>#REF!</v>
      </c>
      <c r="AK141" s="435" t="e">
        <f t="shared" si="238"/>
        <v>#REF!</v>
      </c>
      <c r="AL141" s="435" t="e">
        <f t="shared" si="240"/>
        <v>#REF!</v>
      </c>
      <c r="AM141" s="444"/>
    </row>
    <row r="142" spans="1:39" s="96" customFormat="1" ht="29.1" customHeight="1" outlineLevel="1">
      <c r="A142" s="39" t="s">
        <v>332</v>
      </c>
      <c r="B142" s="40" t="s">
        <v>333</v>
      </c>
      <c r="C142" s="41">
        <v>2768464.2113583093</v>
      </c>
      <c r="D142" s="41">
        <v>2970645.5365660945</v>
      </c>
      <c r="E142" s="41">
        <v>3080149.2828766569</v>
      </c>
      <c r="F142" s="41">
        <v>2152335.7281122329</v>
      </c>
      <c r="G142" s="41">
        <f t="shared" ref="G142:G148" si="402">F142</f>
        <v>2152335.7281122329</v>
      </c>
      <c r="H142" s="41">
        <f t="shared" ref="H142:K148" si="403">G142</f>
        <v>2152335.7281122329</v>
      </c>
      <c r="I142" s="41">
        <f t="shared" si="403"/>
        <v>2152335.7281122329</v>
      </c>
      <c r="J142" s="41">
        <f t="shared" si="403"/>
        <v>2152335.7281122329</v>
      </c>
      <c r="K142" s="41">
        <f t="shared" si="403"/>
        <v>2152335.7281122329</v>
      </c>
      <c r="L142" s="333"/>
      <c r="M142" s="40" t="s">
        <v>333</v>
      </c>
      <c r="N142" s="41">
        <f>G142-U142-AB142</f>
        <v>2152335.7281122329</v>
      </c>
      <c r="O142" s="41">
        <f t="shared" ref="O142" si="404">N142</f>
        <v>2152335.7281122329</v>
      </c>
      <c r="P142" s="41">
        <f t="shared" ref="P142" si="405">O142</f>
        <v>2152335.7281122329</v>
      </c>
      <c r="Q142" s="41">
        <f t="shared" ref="Q142" si="406">P142</f>
        <v>2152335.7281122329</v>
      </c>
      <c r="R142" s="41">
        <f t="shared" ref="R142" si="407">Q142</f>
        <v>2152335.7281122329</v>
      </c>
      <c r="S142" s="333"/>
      <c r="T142" s="40" t="s">
        <v>333</v>
      </c>
      <c r="U142" s="41">
        <v>0</v>
      </c>
      <c r="V142" s="41">
        <f t="shared" ref="V142" si="408">U142</f>
        <v>0</v>
      </c>
      <c r="W142" s="41">
        <f t="shared" ref="W142" si="409">V142</f>
        <v>0</v>
      </c>
      <c r="X142" s="41">
        <f t="shared" ref="X142" si="410">W142</f>
        <v>0</v>
      </c>
      <c r="Y142" s="41">
        <f t="shared" ref="Y142" si="411">X142</f>
        <v>0</v>
      </c>
      <c r="Z142" s="333"/>
      <c r="AA142" s="40" t="s">
        <v>333</v>
      </c>
      <c r="AB142" s="41">
        <v>0</v>
      </c>
      <c r="AC142" s="41">
        <f t="shared" ref="AC142" si="412">AB142</f>
        <v>0</v>
      </c>
      <c r="AD142" s="41">
        <f t="shared" ref="AD142" si="413">AC142</f>
        <v>0</v>
      </c>
      <c r="AE142" s="41">
        <f t="shared" ref="AE142" si="414">AD142</f>
        <v>0</v>
      </c>
      <c r="AF142" s="41">
        <f t="shared" ref="AF142" si="415">AE142</f>
        <v>0</v>
      </c>
      <c r="AH142" s="435">
        <f t="shared" si="238"/>
        <v>0</v>
      </c>
      <c r="AI142" s="435">
        <f t="shared" si="238"/>
        <v>0</v>
      </c>
      <c r="AJ142" s="435">
        <f t="shared" si="238"/>
        <v>0</v>
      </c>
      <c r="AK142" s="435">
        <f t="shared" si="238"/>
        <v>0</v>
      </c>
      <c r="AL142" s="435">
        <f t="shared" si="240"/>
        <v>0</v>
      </c>
      <c r="AM142" s="444"/>
    </row>
    <row r="143" spans="1:39" s="96" customFormat="1" outlineLevel="1">
      <c r="A143" s="39" t="s">
        <v>334</v>
      </c>
      <c r="B143" s="40" t="s">
        <v>335</v>
      </c>
      <c r="C143" s="41">
        <v>-354872.66666666669</v>
      </c>
      <c r="D143" s="41">
        <v>-356898</v>
      </c>
      <c r="E143" s="41">
        <v>-739186.84</v>
      </c>
      <c r="F143" s="41">
        <v>-900392.8833333333</v>
      </c>
      <c r="G143" s="41">
        <f>F143-G64</f>
        <v>-900392.8833333333</v>
      </c>
      <c r="H143" s="41">
        <f t="shared" ref="H143:K143" si="416">G143-H64</f>
        <v>-900392.8833333333</v>
      </c>
      <c r="I143" s="41">
        <f t="shared" si="416"/>
        <v>-900392.8833333333</v>
      </c>
      <c r="J143" s="41">
        <f t="shared" si="416"/>
        <v>-900392.8833333333</v>
      </c>
      <c r="K143" s="41">
        <f t="shared" si="416"/>
        <v>-900392.8833333333</v>
      </c>
      <c r="L143" s="333"/>
      <c r="M143" s="40" t="s">
        <v>335</v>
      </c>
      <c r="N143" s="41">
        <f t="shared" ref="N143:N148" si="417">G143-U143-AB143</f>
        <v>-900392.8833333333</v>
      </c>
      <c r="O143" s="41">
        <f t="shared" ref="O143:O148" si="418">N143</f>
        <v>-900392.8833333333</v>
      </c>
      <c r="P143" s="41">
        <f t="shared" ref="P143:P148" si="419">O143</f>
        <v>-900392.8833333333</v>
      </c>
      <c r="Q143" s="41">
        <f t="shared" ref="Q143:Q148" si="420">P143</f>
        <v>-900392.8833333333</v>
      </c>
      <c r="R143" s="41">
        <f t="shared" ref="R143:R148" si="421">Q143</f>
        <v>-900392.8833333333</v>
      </c>
      <c r="S143" s="333"/>
      <c r="T143" s="40" t="s">
        <v>333</v>
      </c>
      <c r="U143" s="41">
        <v>0</v>
      </c>
      <c r="V143" s="41">
        <f t="shared" ref="V143:V148" si="422">U143</f>
        <v>0</v>
      </c>
      <c r="W143" s="41">
        <f t="shared" ref="W143:W148" si="423">V143</f>
        <v>0</v>
      </c>
      <c r="X143" s="41">
        <f t="shared" ref="X143:X148" si="424">W143</f>
        <v>0</v>
      </c>
      <c r="Y143" s="41">
        <f t="shared" ref="Y143:Y148" si="425">X143</f>
        <v>0</v>
      </c>
      <c r="Z143" s="333"/>
      <c r="AA143" s="40" t="s">
        <v>333</v>
      </c>
      <c r="AB143" s="41">
        <v>0</v>
      </c>
      <c r="AC143" s="41">
        <f t="shared" ref="AC143" si="426">AB143-AC64</f>
        <v>0</v>
      </c>
      <c r="AD143" s="41">
        <f t="shared" ref="AD143" si="427">AC143-AD64</f>
        <v>0</v>
      </c>
      <c r="AE143" s="41">
        <f t="shared" ref="AE143" si="428">AD143-AE64</f>
        <v>0</v>
      </c>
      <c r="AF143" s="41">
        <f t="shared" ref="AF143" si="429">AE143-AF64</f>
        <v>0</v>
      </c>
      <c r="AH143" s="435">
        <f t="shared" si="238"/>
        <v>0</v>
      </c>
      <c r="AI143" s="435">
        <f t="shared" si="238"/>
        <v>0</v>
      </c>
      <c r="AJ143" s="435">
        <f t="shared" si="238"/>
        <v>0</v>
      </c>
      <c r="AK143" s="435">
        <f t="shared" si="238"/>
        <v>0</v>
      </c>
      <c r="AL143" s="435">
        <f t="shared" si="240"/>
        <v>0</v>
      </c>
      <c r="AM143" s="444"/>
    </row>
    <row r="144" spans="1:39" s="96" customFormat="1" ht="24.95" customHeight="1" outlineLevel="1">
      <c r="A144" s="39" t="s">
        <v>336</v>
      </c>
      <c r="B144" s="40" t="s">
        <v>337</v>
      </c>
      <c r="C144" s="41">
        <v>17828.513333333332</v>
      </c>
      <c r="D144" s="41">
        <v>10305</v>
      </c>
      <c r="E144" s="41">
        <v>10726.666666666666</v>
      </c>
      <c r="F144" s="41">
        <v>28631.613333333331</v>
      </c>
      <c r="G144" s="41">
        <f t="shared" si="402"/>
        <v>28631.613333333331</v>
      </c>
      <c r="H144" s="41">
        <f t="shared" si="403"/>
        <v>28631.613333333331</v>
      </c>
      <c r="I144" s="41">
        <f t="shared" si="403"/>
        <v>28631.613333333331</v>
      </c>
      <c r="J144" s="41">
        <f t="shared" si="403"/>
        <v>28631.613333333331</v>
      </c>
      <c r="K144" s="41">
        <f t="shared" si="403"/>
        <v>28631.613333333331</v>
      </c>
      <c r="L144" s="333"/>
      <c r="M144" s="40" t="s">
        <v>337</v>
      </c>
      <c r="N144" s="41">
        <f t="shared" si="417"/>
        <v>28631.613333333331</v>
      </c>
      <c r="O144" s="41">
        <f t="shared" si="418"/>
        <v>28631.613333333331</v>
      </c>
      <c r="P144" s="41">
        <f t="shared" si="419"/>
        <v>28631.613333333331</v>
      </c>
      <c r="Q144" s="41">
        <f t="shared" si="420"/>
        <v>28631.613333333331</v>
      </c>
      <c r="R144" s="41">
        <f t="shared" si="421"/>
        <v>28631.613333333331</v>
      </c>
      <c r="S144" s="333"/>
      <c r="T144" s="40" t="s">
        <v>333</v>
      </c>
      <c r="U144" s="41">
        <v>0</v>
      </c>
      <c r="V144" s="41">
        <f t="shared" si="422"/>
        <v>0</v>
      </c>
      <c r="W144" s="41">
        <f t="shared" si="423"/>
        <v>0</v>
      </c>
      <c r="X144" s="41">
        <f t="shared" si="424"/>
        <v>0</v>
      </c>
      <c r="Y144" s="41">
        <f t="shared" si="425"/>
        <v>0</v>
      </c>
      <c r="Z144" s="333"/>
      <c r="AA144" s="40" t="s">
        <v>333</v>
      </c>
      <c r="AB144" s="41">
        <v>0</v>
      </c>
      <c r="AC144" s="41">
        <f t="shared" ref="AC144:AC148" si="430">AB144</f>
        <v>0</v>
      </c>
      <c r="AD144" s="41">
        <f t="shared" ref="AD144:AD148" si="431">AC144</f>
        <v>0</v>
      </c>
      <c r="AE144" s="41">
        <f t="shared" ref="AE144:AE148" si="432">AD144</f>
        <v>0</v>
      </c>
      <c r="AF144" s="41">
        <f t="shared" ref="AF144:AF148" si="433">AE144</f>
        <v>0</v>
      </c>
      <c r="AH144" s="435">
        <f t="shared" si="238"/>
        <v>0</v>
      </c>
      <c r="AI144" s="435">
        <f t="shared" si="238"/>
        <v>0</v>
      </c>
      <c r="AJ144" s="435">
        <f t="shared" si="238"/>
        <v>0</v>
      </c>
      <c r="AK144" s="435">
        <f t="shared" si="238"/>
        <v>0</v>
      </c>
      <c r="AL144" s="435">
        <f t="shared" si="240"/>
        <v>0</v>
      </c>
      <c r="AM144" s="444"/>
    </row>
    <row r="145" spans="1:39" s="96" customFormat="1" ht="18.95" customHeight="1" outlineLevel="1">
      <c r="A145" s="39" t="s">
        <v>338</v>
      </c>
      <c r="B145" s="40" t="s">
        <v>339</v>
      </c>
      <c r="C145" s="41">
        <v>36982.648333333331</v>
      </c>
      <c r="D145" s="41">
        <v>37386.648333333331</v>
      </c>
      <c r="E145" s="41">
        <v>36982.648333333331</v>
      </c>
      <c r="F145" s="41">
        <v>0</v>
      </c>
      <c r="G145" s="41">
        <f t="shared" si="402"/>
        <v>0</v>
      </c>
      <c r="H145" s="41">
        <f t="shared" si="403"/>
        <v>0</v>
      </c>
      <c r="I145" s="41">
        <f t="shared" si="403"/>
        <v>0</v>
      </c>
      <c r="J145" s="41">
        <f t="shared" si="403"/>
        <v>0</v>
      </c>
      <c r="K145" s="41">
        <f t="shared" si="403"/>
        <v>0</v>
      </c>
      <c r="L145" s="333"/>
      <c r="M145" s="40" t="s">
        <v>339</v>
      </c>
      <c r="N145" s="41">
        <f t="shared" si="417"/>
        <v>0</v>
      </c>
      <c r="O145" s="41">
        <f t="shared" si="418"/>
        <v>0</v>
      </c>
      <c r="P145" s="41">
        <f t="shared" si="419"/>
        <v>0</v>
      </c>
      <c r="Q145" s="41">
        <f t="shared" si="420"/>
        <v>0</v>
      </c>
      <c r="R145" s="41">
        <f t="shared" si="421"/>
        <v>0</v>
      </c>
      <c r="S145" s="333"/>
      <c r="T145" s="40" t="s">
        <v>333</v>
      </c>
      <c r="U145" s="41">
        <v>0</v>
      </c>
      <c r="V145" s="41">
        <f t="shared" si="422"/>
        <v>0</v>
      </c>
      <c r="W145" s="41">
        <f t="shared" si="423"/>
        <v>0</v>
      </c>
      <c r="X145" s="41">
        <f t="shared" si="424"/>
        <v>0</v>
      </c>
      <c r="Y145" s="41">
        <f t="shared" si="425"/>
        <v>0</v>
      </c>
      <c r="Z145" s="333"/>
      <c r="AA145" s="40" t="s">
        <v>333</v>
      </c>
      <c r="AB145" s="41">
        <v>0</v>
      </c>
      <c r="AC145" s="41">
        <f t="shared" si="430"/>
        <v>0</v>
      </c>
      <c r="AD145" s="41">
        <f t="shared" si="431"/>
        <v>0</v>
      </c>
      <c r="AE145" s="41">
        <f t="shared" si="432"/>
        <v>0</v>
      </c>
      <c r="AF145" s="41">
        <f t="shared" si="433"/>
        <v>0</v>
      </c>
      <c r="AH145" s="435">
        <f t="shared" si="238"/>
        <v>0</v>
      </c>
      <c r="AI145" s="435">
        <f t="shared" si="238"/>
        <v>0</v>
      </c>
      <c r="AJ145" s="435">
        <f t="shared" si="238"/>
        <v>0</v>
      </c>
      <c r="AK145" s="435">
        <f t="shared" si="238"/>
        <v>0</v>
      </c>
      <c r="AL145" s="435">
        <f t="shared" si="240"/>
        <v>0</v>
      </c>
      <c r="AM145" s="444"/>
    </row>
    <row r="146" spans="1:39" s="96" customFormat="1" ht="18.95" customHeight="1" outlineLevel="1">
      <c r="A146" s="39" t="s">
        <v>340</v>
      </c>
      <c r="B146" s="40" t="s">
        <v>341</v>
      </c>
      <c r="C146" s="41">
        <v>13.833333333333334</v>
      </c>
      <c r="D146" s="41">
        <v>19666.666666666668</v>
      </c>
      <c r="E146" s="41">
        <v>11673.833333333334</v>
      </c>
      <c r="F146" s="41">
        <v>6533.333333333333</v>
      </c>
      <c r="G146" s="41">
        <f t="shared" si="402"/>
        <v>6533.333333333333</v>
      </c>
      <c r="H146" s="41">
        <f t="shared" si="403"/>
        <v>6533.333333333333</v>
      </c>
      <c r="I146" s="41">
        <f t="shared" si="403"/>
        <v>6533.333333333333</v>
      </c>
      <c r="J146" s="41">
        <f t="shared" si="403"/>
        <v>6533.333333333333</v>
      </c>
      <c r="K146" s="41">
        <f t="shared" si="403"/>
        <v>6533.333333333333</v>
      </c>
      <c r="L146" s="333"/>
      <c r="M146" s="40" t="s">
        <v>341</v>
      </c>
      <c r="N146" s="41">
        <f t="shared" si="417"/>
        <v>6533.333333333333</v>
      </c>
      <c r="O146" s="41">
        <f t="shared" si="418"/>
        <v>6533.333333333333</v>
      </c>
      <c r="P146" s="41">
        <f t="shared" si="419"/>
        <v>6533.333333333333</v>
      </c>
      <c r="Q146" s="41">
        <f t="shared" si="420"/>
        <v>6533.333333333333</v>
      </c>
      <c r="R146" s="41">
        <f t="shared" si="421"/>
        <v>6533.333333333333</v>
      </c>
      <c r="S146" s="333"/>
      <c r="T146" s="40" t="s">
        <v>333</v>
      </c>
      <c r="U146" s="41">
        <v>0</v>
      </c>
      <c r="V146" s="41">
        <f t="shared" si="422"/>
        <v>0</v>
      </c>
      <c r="W146" s="41">
        <f t="shared" si="423"/>
        <v>0</v>
      </c>
      <c r="X146" s="41">
        <f t="shared" si="424"/>
        <v>0</v>
      </c>
      <c r="Y146" s="41">
        <f t="shared" si="425"/>
        <v>0</v>
      </c>
      <c r="Z146" s="333"/>
      <c r="AA146" s="40" t="s">
        <v>333</v>
      </c>
      <c r="AB146" s="41">
        <v>0</v>
      </c>
      <c r="AC146" s="41">
        <f t="shared" si="430"/>
        <v>0</v>
      </c>
      <c r="AD146" s="41">
        <f t="shared" si="431"/>
        <v>0</v>
      </c>
      <c r="AE146" s="41">
        <f t="shared" si="432"/>
        <v>0</v>
      </c>
      <c r="AF146" s="41">
        <f t="shared" si="433"/>
        <v>0</v>
      </c>
      <c r="AH146" s="435">
        <f t="shared" si="238"/>
        <v>0</v>
      </c>
      <c r="AI146" s="435">
        <f t="shared" si="238"/>
        <v>0</v>
      </c>
      <c r="AJ146" s="435">
        <f t="shared" si="238"/>
        <v>0</v>
      </c>
      <c r="AK146" s="435">
        <f t="shared" si="238"/>
        <v>0</v>
      </c>
      <c r="AL146" s="435">
        <f t="shared" si="240"/>
        <v>0</v>
      </c>
      <c r="AM146" s="444"/>
    </row>
    <row r="147" spans="1:39" s="96" customFormat="1" ht="18.95" customHeight="1" outlineLevel="1">
      <c r="A147" s="39" t="s">
        <v>342</v>
      </c>
      <c r="B147" s="40" t="s">
        <v>343</v>
      </c>
      <c r="C147" s="41">
        <v>265064.01500000001</v>
      </c>
      <c r="D147" s="41">
        <v>325036.36000000004</v>
      </c>
      <c r="E147" s="41">
        <v>386185.15000000008</v>
      </c>
      <c r="F147" s="41">
        <v>1535200.25</v>
      </c>
      <c r="G147" s="318">
        <v>0</v>
      </c>
      <c r="H147" s="41">
        <f t="shared" si="403"/>
        <v>0</v>
      </c>
      <c r="I147" s="41">
        <f t="shared" si="403"/>
        <v>0</v>
      </c>
      <c r="J147" s="41">
        <f t="shared" si="403"/>
        <v>0</v>
      </c>
      <c r="K147" s="41">
        <f t="shared" si="403"/>
        <v>0</v>
      </c>
      <c r="L147" s="333"/>
      <c r="M147" s="40" t="s">
        <v>343</v>
      </c>
      <c r="N147" s="41">
        <f t="shared" si="417"/>
        <v>0</v>
      </c>
      <c r="O147" s="41">
        <f t="shared" si="418"/>
        <v>0</v>
      </c>
      <c r="P147" s="41">
        <f t="shared" si="419"/>
        <v>0</v>
      </c>
      <c r="Q147" s="41">
        <f t="shared" si="420"/>
        <v>0</v>
      </c>
      <c r="R147" s="41">
        <f t="shared" si="421"/>
        <v>0</v>
      </c>
      <c r="S147" s="333"/>
      <c r="T147" s="40" t="s">
        <v>333</v>
      </c>
      <c r="U147" s="41">
        <v>0</v>
      </c>
      <c r="V147" s="41">
        <f t="shared" si="422"/>
        <v>0</v>
      </c>
      <c r="W147" s="41">
        <f t="shared" si="423"/>
        <v>0</v>
      </c>
      <c r="X147" s="41">
        <f t="shared" si="424"/>
        <v>0</v>
      </c>
      <c r="Y147" s="41">
        <f t="shared" si="425"/>
        <v>0</v>
      </c>
      <c r="Z147" s="333"/>
      <c r="AA147" s="40" t="s">
        <v>333</v>
      </c>
      <c r="AB147" s="41">
        <v>0</v>
      </c>
      <c r="AC147" s="41">
        <f t="shared" si="430"/>
        <v>0</v>
      </c>
      <c r="AD147" s="41">
        <f t="shared" si="431"/>
        <v>0</v>
      </c>
      <c r="AE147" s="41">
        <f t="shared" si="432"/>
        <v>0</v>
      </c>
      <c r="AF147" s="41">
        <f t="shared" si="433"/>
        <v>0</v>
      </c>
      <c r="AH147" s="435">
        <f t="shared" ref="AH147:AL173" si="434">G147-SUM(N147,U147,AB147)</f>
        <v>0</v>
      </c>
      <c r="AI147" s="435">
        <f t="shared" si="434"/>
        <v>0</v>
      </c>
      <c r="AJ147" s="435">
        <f t="shared" si="434"/>
        <v>0</v>
      </c>
      <c r="AK147" s="435">
        <f t="shared" si="434"/>
        <v>0</v>
      </c>
      <c r="AL147" s="435">
        <f t="shared" si="434"/>
        <v>0</v>
      </c>
      <c r="AM147" s="444"/>
    </row>
    <row r="148" spans="1:39" s="96" customFormat="1" ht="18.95" customHeight="1" outlineLevel="1">
      <c r="A148" s="39" t="s">
        <v>344</v>
      </c>
      <c r="B148" s="40" t="s">
        <v>345</v>
      </c>
      <c r="C148" s="44">
        <v>1166.6666666666667</v>
      </c>
      <c r="D148" s="44">
        <v>7159</v>
      </c>
      <c r="E148" s="44">
        <v>0</v>
      </c>
      <c r="F148" s="44">
        <v>0</v>
      </c>
      <c r="G148" s="44">
        <f t="shared" si="402"/>
        <v>0</v>
      </c>
      <c r="H148" s="44">
        <f t="shared" si="403"/>
        <v>0</v>
      </c>
      <c r="I148" s="44">
        <f t="shared" si="403"/>
        <v>0</v>
      </c>
      <c r="J148" s="44">
        <f t="shared" si="403"/>
        <v>0</v>
      </c>
      <c r="K148" s="44">
        <f t="shared" si="403"/>
        <v>0</v>
      </c>
      <c r="L148" s="333"/>
      <c r="M148" s="40" t="s">
        <v>345</v>
      </c>
      <c r="N148" s="44">
        <f t="shared" si="417"/>
        <v>0</v>
      </c>
      <c r="O148" s="41">
        <f t="shared" si="418"/>
        <v>0</v>
      </c>
      <c r="P148" s="41">
        <f t="shared" si="419"/>
        <v>0</v>
      </c>
      <c r="Q148" s="41">
        <f t="shared" si="420"/>
        <v>0</v>
      </c>
      <c r="R148" s="41">
        <f t="shared" si="421"/>
        <v>0</v>
      </c>
      <c r="S148" s="333"/>
      <c r="T148" s="40" t="s">
        <v>333</v>
      </c>
      <c r="U148" s="44">
        <v>0</v>
      </c>
      <c r="V148" s="41">
        <f t="shared" si="422"/>
        <v>0</v>
      </c>
      <c r="W148" s="41">
        <f t="shared" si="423"/>
        <v>0</v>
      </c>
      <c r="X148" s="41">
        <f t="shared" si="424"/>
        <v>0</v>
      </c>
      <c r="Y148" s="41">
        <f t="shared" si="425"/>
        <v>0</v>
      </c>
      <c r="Z148" s="333"/>
      <c r="AA148" s="40" t="s">
        <v>333</v>
      </c>
      <c r="AB148" s="44">
        <v>0</v>
      </c>
      <c r="AC148" s="44">
        <f t="shared" si="430"/>
        <v>0</v>
      </c>
      <c r="AD148" s="44">
        <f t="shared" si="431"/>
        <v>0</v>
      </c>
      <c r="AE148" s="44">
        <f t="shared" si="432"/>
        <v>0</v>
      </c>
      <c r="AF148" s="44">
        <f t="shared" si="433"/>
        <v>0</v>
      </c>
      <c r="AH148" s="435">
        <f t="shared" si="434"/>
        <v>0</v>
      </c>
      <c r="AI148" s="435">
        <f t="shared" si="434"/>
        <v>0</v>
      </c>
      <c r="AJ148" s="435">
        <f t="shared" si="434"/>
        <v>0</v>
      </c>
      <c r="AK148" s="435">
        <f t="shared" si="434"/>
        <v>0</v>
      </c>
      <c r="AL148" s="435">
        <f t="shared" si="434"/>
        <v>0</v>
      </c>
      <c r="AM148" s="444"/>
    </row>
    <row r="149" spans="1:39" s="96" customFormat="1" ht="18.95" customHeight="1">
      <c r="A149" s="39"/>
      <c r="B149" s="322" t="s">
        <v>346</v>
      </c>
      <c r="C149" s="41">
        <f t="shared" ref="C149:F149" si="435">SUM(C142:C148)</f>
        <v>2734647.2213583095</v>
      </c>
      <c r="D149" s="41">
        <f t="shared" si="435"/>
        <v>3013301.2115660943</v>
      </c>
      <c r="E149" s="41">
        <f t="shared" si="435"/>
        <v>2786530.7412099903</v>
      </c>
      <c r="F149" s="41">
        <f t="shared" si="435"/>
        <v>2822308.0414455663</v>
      </c>
      <c r="G149" s="41">
        <f t="shared" ref="G149" si="436">SUM(G142:G148)</f>
        <v>1287107.7914455661</v>
      </c>
      <c r="H149" s="41">
        <f t="shared" ref="H149:K149" si="437">SUM(H142:H148)</f>
        <v>1287107.7914455661</v>
      </c>
      <c r="I149" s="41">
        <f t="shared" si="437"/>
        <v>1287107.7914455661</v>
      </c>
      <c r="J149" s="41">
        <f t="shared" si="437"/>
        <v>1287107.7914455661</v>
      </c>
      <c r="K149" s="41">
        <f t="shared" si="437"/>
        <v>1287107.7914455661</v>
      </c>
      <c r="L149" s="333"/>
      <c r="M149" s="322" t="s">
        <v>346</v>
      </c>
      <c r="N149" s="41">
        <f t="shared" ref="N149:R149" si="438">SUM(N142:N148)</f>
        <v>1287107.7914455661</v>
      </c>
      <c r="O149" s="41">
        <f t="shared" si="438"/>
        <v>1287107.7914455661</v>
      </c>
      <c r="P149" s="41">
        <f t="shared" si="438"/>
        <v>1287107.7914455661</v>
      </c>
      <c r="Q149" s="41">
        <f t="shared" si="438"/>
        <v>1287107.7914455661</v>
      </c>
      <c r="R149" s="41">
        <f t="shared" si="438"/>
        <v>1287107.7914455661</v>
      </c>
      <c r="S149" s="333"/>
      <c r="T149" s="322" t="s">
        <v>346</v>
      </c>
      <c r="U149" s="41">
        <f t="shared" ref="U149:Y149" si="439">SUM(U142:U148)</f>
        <v>0</v>
      </c>
      <c r="V149" s="41">
        <f t="shared" si="439"/>
        <v>0</v>
      </c>
      <c r="W149" s="41">
        <f t="shared" si="439"/>
        <v>0</v>
      </c>
      <c r="X149" s="41">
        <f t="shared" si="439"/>
        <v>0</v>
      </c>
      <c r="Y149" s="41">
        <f t="shared" si="439"/>
        <v>0</v>
      </c>
      <c r="Z149" s="333"/>
      <c r="AA149" s="322" t="s">
        <v>346</v>
      </c>
      <c r="AB149" s="41">
        <f t="shared" ref="AB149:AF149" si="440">SUM(AB142:AB148)</f>
        <v>0</v>
      </c>
      <c r="AC149" s="41">
        <f t="shared" si="440"/>
        <v>0</v>
      </c>
      <c r="AD149" s="41">
        <f t="shared" si="440"/>
        <v>0</v>
      </c>
      <c r="AE149" s="41">
        <f t="shared" si="440"/>
        <v>0</v>
      </c>
      <c r="AF149" s="41">
        <f t="shared" si="440"/>
        <v>0</v>
      </c>
      <c r="AH149" s="435">
        <f t="shared" si="434"/>
        <v>0</v>
      </c>
      <c r="AI149" s="435">
        <f t="shared" si="434"/>
        <v>0</v>
      </c>
      <c r="AJ149" s="435">
        <f t="shared" si="434"/>
        <v>0</v>
      </c>
      <c r="AK149" s="435">
        <f t="shared" si="434"/>
        <v>0</v>
      </c>
      <c r="AL149" s="435">
        <f t="shared" si="434"/>
        <v>0</v>
      </c>
      <c r="AM149" s="444"/>
    </row>
    <row r="150" spans="1:39" s="96" customFormat="1" ht="29.1" customHeight="1" outlineLevel="1">
      <c r="A150" s="39" t="s">
        <v>347</v>
      </c>
      <c r="B150" s="40" t="s">
        <v>348</v>
      </c>
      <c r="C150" s="41">
        <v>109698.06333333334</v>
      </c>
      <c r="D150" s="41">
        <v>115302.19499999999</v>
      </c>
      <c r="E150" s="41">
        <v>74660.136666666673</v>
      </c>
      <c r="F150" s="41">
        <v>104859.11666666665</v>
      </c>
      <c r="G150" s="41">
        <f t="shared" ref="G150:G151" si="441">F150</f>
        <v>104859.11666666665</v>
      </c>
      <c r="H150" s="41">
        <f t="shared" ref="H150:K151" si="442">G150</f>
        <v>104859.11666666665</v>
      </c>
      <c r="I150" s="41">
        <f t="shared" si="442"/>
        <v>104859.11666666665</v>
      </c>
      <c r="J150" s="41">
        <f t="shared" si="442"/>
        <v>104859.11666666665</v>
      </c>
      <c r="K150" s="41">
        <f t="shared" si="442"/>
        <v>104859.11666666665</v>
      </c>
      <c r="L150" s="333"/>
      <c r="M150" s="40" t="s">
        <v>348</v>
      </c>
      <c r="N150" s="41">
        <f t="shared" ref="N150:N151" si="443">G150-U150-AB150</f>
        <v>104859.11666666665</v>
      </c>
      <c r="O150" s="41">
        <f t="shared" ref="O150:O151" si="444">N150</f>
        <v>104859.11666666665</v>
      </c>
      <c r="P150" s="41">
        <f t="shared" ref="P150:P151" si="445">O150</f>
        <v>104859.11666666665</v>
      </c>
      <c r="Q150" s="41">
        <f t="shared" ref="Q150:Q151" si="446">P150</f>
        <v>104859.11666666665</v>
      </c>
      <c r="R150" s="41">
        <f t="shared" ref="R150:R151" si="447">Q150</f>
        <v>104859.11666666665</v>
      </c>
      <c r="S150" s="333"/>
      <c r="T150" s="40" t="s">
        <v>333</v>
      </c>
      <c r="U150" s="41">
        <v>0</v>
      </c>
      <c r="V150" s="41">
        <f t="shared" ref="V150:V151" si="448">U150</f>
        <v>0</v>
      </c>
      <c r="W150" s="41">
        <f t="shared" ref="W150:W151" si="449">V150</f>
        <v>0</v>
      </c>
      <c r="X150" s="41">
        <f t="shared" ref="X150:X151" si="450">W150</f>
        <v>0</v>
      </c>
      <c r="Y150" s="41">
        <f t="shared" ref="Y150:Y151" si="451">X150</f>
        <v>0</v>
      </c>
      <c r="Z150" s="333"/>
      <c r="AA150" s="40" t="s">
        <v>333</v>
      </c>
      <c r="AB150" s="41">
        <v>0</v>
      </c>
      <c r="AC150" s="41">
        <f t="shared" ref="AC150:AC151" si="452">AB150</f>
        <v>0</v>
      </c>
      <c r="AD150" s="41">
        <f t="shared" ref="AD150:AD151" si="453">AC150</f>
        <v>0</v>
      </c>
      <c r="AE150" s="41">
        <f t="shared" ref="AE150:AE151" si="454">AD150</f>
        <v>0</v>
      </c>
      <c r="AF150" s="41">
        <f t="shared" ref="AF150:AF151" si="455">AE150</f>
        <v>0</v>
      </c>
      <c r="AH150" s="435">
        <f t="shared" si="434"/>
        <v>0</v>
      </c>
      <c r="AI150" s="435">
        <f t="shared" si="434"/>
        <v>0</v>
      </c>
      <c r="AJ150" s="435">
        <f t="shared" si="434"/>
        <v>0</v>
      </c>
      <c r="AK150" s="435">
        <f t="shared" si="434"/>
        <v>0</v>
      </c>
      <c r="AL150" s="435">
        <f t="shared" si="434"/>
        <v>0</v>
      </c>
      <c r="AM150" s="444"/>
    </row>
    <row r="151" spans="1:39" s="96" customFormat="1" ht="18.95" customHeight="1" outlineLevel="1">
      <c r="A151" s="39" t="s">
        <v>349</v>
      </c>
      <c r="B151" s="40" t="s">
        <v>350</v>
      </c>
      <c r="C151" s="44">
        <v>0</v>
      </c>
      <c r="D151" s="44">
        <v>0</v>
      </c>
      <c r="E151" s="44">
        <v>0</v>
      </c>
      <c r="F151" s="44">
        <v>0</v>
      </c>
      <c r="G151" s="44">
        <f t="shared" si="441"/>
        <v>0</v>
      </c>
      <c r="H151" s="44">
        <f t="shared" si="442"/>
        <v>0</v>
      </c>
      <c r="I151" s="44">
        <f t="shared" si="442"/>
        <v>0</v>
      </c>
      <c r="J151" s="44">
        <f t="shared" si="442"/>
        <v>0</v>
      </c>
      <c r="K151" s="44">
        <f t="shared" si="442"/>
        <v>0</v>
      </c>
      <c r="L151" s="333"/>
      <c r="M151" s="40" t="s">
        <v>350</v>
      </c>
      <c r="N151" s="44">
        <f t="shared" si="443"/>
        <v>0</v>
      </c>
      <c r="O151" s="41">
        <f t="shared" si="444"/>
        <v>0</v>
      </c>
      <c r="P151" s="41">
        <f t="shared" si="445"/>
        <v>0</v>
      </c>
      <c r="Q151" s="41">
        <f t="shared" si="446"/>
        <v>0</v>
      </c>
      <c r="R151" s="41">
        <f t="shared" si="447"/>
        <v>0</v>
      </c>
      <c r="S151" s="333"/>
      <c r="T151" s="40" t="s">
        <v>333</v>
      </c>
      <c r="U151" s="44">
        <v>0</v>
      </c>
      <c r="V151" s="41">
        <f t="shared" si="448"/>
        <v>0</v>
      </c>
      <c r="W151" s="41">
        <f t="shared" si="449"/>
        <v>0</v>
      </c>
      <c r="X151" s="41">
        <f t="shared" si="450"/>
        <v>0</v>
      </c>
      <c r="Y151" s="41">
        <f t="shared" si="451"/>
        <v>0</v>
      </c>
      <c r="Z151" s="333"/>
      <c r="AA151" s="40" t="s">
        <v>333</v>
      </c>
      <c r="AB151" s="44">
        <v>0</v>
      </c>
      <c r="AC151" s="44">
        <f t="shared" si="452"/>
        <v>0</v>
      </c>
      <c r="AD151" s="44">
        <f t="shared" si="453"/>
        <v>0</v>
      </c>
      <c r="AE151" s="44">
        <f t="shared" si="454"/>
        <v>0</v>
      </c>
      <c r="AF151" s="44">
        <f t="shared" si="455"/>
        <v>0</v>
      </c>
      <c r="AH151" s="435">
        <f t="shared" si="434"/>
        <v>0</v>
      </c>
      <c r="AI151" s="435">
        <f t="shared" si="434"/>
        <v>0</v>
      </c>
      <c r="AJ151" s="435">
        <f t="shared" si="434"/>
        <v>0</v>
      </c>
      <c r="AK151" s="435">
        <f t="shared" si="434"/>
        <v>0</v>
      </c>
      <c r="AL151" s="435">
        <f t="shared" si="434"/>
        <v>0</v>
      </c>
      <c r="AM151" s="444"/>
    </row>
    <row r="152" spans="1:39" s="96" customFormat="1" ht="18.95" customHeight="1">
      <c r="A152" s="39"/>
      <c r="B152" s="322" t="s">
        <v>350</v>
      </c>
      <c r="C152" s="41">
        <f t="shared" ref="C152:F152" si="456">SUM(C150:C151)</f>
        <v>109698.06333333334</v>
      </c>
      <c r="D152" s="41">
        <f t="shared" si="456"/>
        <v>115302.19499999999</v>
      </c>
      <c r="E152" s="41">
        <f t="shared" si="456"/>
        <v>74660.136666666673</v>
      </c>
      <c r="F152" s="41">
        <f t="shared" si="456"/>
        <v>104859.11666666665</v>
      </c>
      <c r="G152" s="41">
        <f t="shared" ref="G152" si="457">SUM(G150:G151)</f>
        <v>104859.11666666665</v>
      </c>
      <c r="H152" s="41">
        <f t="shared" ref="H152:K152" si="458">SUM(H150:H151)</f>
        <v>104859.11666666665</v>
      </c>
      <c r="I152" s="41">
        <f t="shared" si="458"/>
        <v>104859.11666666665</v>
      </c>
      <c r="J152" s="41">
        <f t="shared" si="458"/>
        <v>104859.11666666665</v>
      </c>
      <c r="K152" s="41">
        <f t="shared" si="458"/>
        <v>104859.11666666665</v>
      </c>
      <c r="L152" s="333"/>
      <c r="M152" s="322" t="s">
        <v>350</v>
      </c>
      <c r="N152" s="41">
        <f t="shared" ref="N152:R152" si="459">SUM(N150:N151)</f>
        <v>104859.11666666665</v>
      </c>
      <c r="O152" s="41">
        <f t="shared" si="459"/>
        <v>104859.11666666665</v>
      </c>
      <c r="P152" s="41">
        <f t="shared" si="459"/>
        <v>104859.11666666665</v>
      </c>
      <c r="Q152" s="41">
        <f t="shared" si="459"/>
        <v>104859.11666666665</v>
      </c>
      <c r="R152" s="41">
        <f t="shared" si="459"/>
        <v>104859.11666666665</v>
      </c>
      <c r="S152" s="333"/>
      <c r="T152" s="322" t="s">
        <v>350</v>
      </c>
      <c r="U152" s="41">
        <f t="shared" ref="U152:Y152" si="460">SUM(U150:U151)</f>
        <v>0</v>
      </c>
      <c r="V152" s="41">
        <f t="shared" si="460"/>
        <v>0</v>
      </c>
      <c r="W152" s="41">
        <f t="shared" si="460"/>
        <v>0</v>
      </c>
      <c r="X152" s="41">
        <f t="shared" si="460"/>
        <v>0</v>
      </c>
      <c r="Y152" s="41">
        <f t="shared" si="460"/>
        <v>0</v>
      </c>
      <c r="Z152" s="333"/>
      <c r="AA152" s="322" t="s">
        <v>350</v>
      </c>
      <c r="AB152" s="41">
        <f t="shared" ref="AB152:AF152" si="461">SUM(AB150:AB151)</f>
        <v>0</v>
      </c>
      <c r="AC152" s="41">
        <f t="shared" si="461"/>
        <v>0</v>
      </c>
      <c r="AD152" s="41">
        <f t="shared" si="461"/>
        <v>0</v>
      </c>
      <c r="AE152" s="41">
        <f t="shared" si="461"/>
        <v>0</v>
      </c>
      <c r="AF152" s="41">
        <f t="shared" si="461"/>
        <v>0</v>
      </c>
      <c r="AH152" s="435">
        <f t="shared" si="434"/>
        <v>0</v>
      </c>
      <c r="AI152" s="435">
        <f t="shared" si="434"/>
        <v>0</v>
      </c>
      <c r="AJ152" s="435">
        <f t="shared" si="434"/>
        <v>0</v>
      </c>
      <c r="AK152" s="435">
        <f t="shared" si="434"/>
        <v>0</v>
      </c>
      <c r="AL152" s="435">
        <f t="shared" si="434"/>
        <v>0</v>
      </c>
      <c r="AM152" s="444"/>
    </row>
    <row r="153" spans="1:39" s="326" customFormat="1" ht="27.95" customHeight="1" thickBot="1">
      <c r="A153" s="323"/>
      <c r="B153" s="324" t="s">
        <v>351</v>
      </c>
      <c r="C153" s="325">
        <f t="shared" ref="C153:F153" si="462">C138+C141+C149+C152</f>
        <v>14783265.188666645</v>
      </c>
      <c r="D153" s="325">
        <f t="shared" si="462"/>
        <v>17232432.694902204</v>
      </c>
      <c r="E153" s="325">
        <f t="shared" si="462"/>
        <v>20112669.591693319</v>
      </c>
      <c r="F153" s="325">
        <f t="shared" si="462"/>
        <v>23111199.138112225</v>
      </c>
      <c r="G153" s="325">
        <f t="shared" ref="G153" si="463">G138+G141+G149+G152</f>
        <v>19064952.589694064</v>
      </c>
      <c r="H153" s="325">
        <f t="shared" ref="H153:K153" si="464">H138+H141+H149+H152</f>
        <v>32304664.76847573</v>
      </c>
      <c r="I153" s="325">
        <f t="shared" si="464"/>
        <v>43161118.590921544</v>
      </c>
      <c r="J153" s="325">
        <f t="shared" si="464"/>
        <v>54017572.413367361</v>
      </c>
      <c r="K153" s="325">
        <f t="shared" si="464"/>
        <v>64874026.235813178</v>
      </c>
      <c r="L153" s="345"/>
      <c r="M153" s="324" t="s">
        <v>351</v>
      </c>
      <c r="N153" s="325" t="e">
        <f t="shared" ref="N153:R153" si="465">N138+N141+N149+N152</f>
        <v>#REF!</v>
      </c>
      <c r="O153" s="325" t="e">
        <f t="shared" si="465"/>
        <v>#REF!</v>
      </c>
      <c r="P153" s="325" t="e">
        <f t="shared" si="465"/>
        <v>#REF!</v>
      </c>
      <c r="Q153" s="325" t="e">
        <f t="shared" si="465"/>
        <v>#REF!</v>
      </c>
      <c r="R153" s="325" t="e">
        <f t="shared" si="465"/>
        <v>#REF!</v>
      </c>
      <c r="S153" s="345"/>
      <c r="T153" s="324" t="s">
        <v>351</v>
      </c>
      <c r="U153" s="325" t="e">
        <f t="shared" ref="U153:Y153" si="466">U138+U141+U149+U152</f>
        <v>#REF!</v>
      </c>
      <c r="V153" s="325" t="e">
        <f t="shared" si="466"/>
        <v>#REF!</v>
      </c>
      <c r="W153" s="325" t="e">
        <f t="shared" si="466"/>
        <v>#REF!</v>
      </c>
      <c r="X153" s="325" t="e">
        <f t="shared" si="466"/>
        <v>#REF!</v>
      </c>
      <c r="Y153" s="325" t="e">
        <f t="shared" si="466"/>
        <v>#REF!</v>
      </c>
      <c r="Z153" s="345"/>
      <c r="AA153" s="324" t="s">
        <v>351</v>
      </c>
      <c r="AB153" s="325" t="e">
        <f t="shared" ref="AB153:AF153" si="467">AB138+AB141+AB149+AB152</f>
        <v>#REF!</v>
      </c>
      <c r="AC153" s="325" t="e">
        <f t="shared" si="467"/>
        <v>#REF!</v>
      </c>
      <c r="AD153" s="325" t="e">
        <f t="shared" si="467"/>
        <v>#REF!</v>
      </c>
      <c r="AE153" s="325" t="e">
        <f t="shared" si="467"/>
        <v>#REF!</v>
      </c>
      <c r="AF153" s="325" t="e">
        <f t="shared" si="467"/>
        <v>#REF!</v>
      </c>
      <c r="AH153" s="435" t="e">
        <f t="shared" si="434"/>
        <v>#REF!</v>
      </c>
      <c r="AI153" s="435" t="e">
        <f t="shared" si="434"/>
        <v>#REF!</v>
      </c>
      <c r="AJ153" s="435" t="e">
        <f t="shared" si="434"/>
        <v>#REF!</v>
      </c>
      <c r="AK153" s="435" t="e">
        <f t="shared" si="434"/>
        <v>#REF!</v>
      </c>
      <c r="AL153" s="435" t="e">
        <f t="shared" si="434"/>
        <v>#REF!</v>
      </c>
      <c r="AM153" s="444"/>
    </row>
    <row r="154" spans="1:39" s="62" customFormat="1" ht="15.75" thickBot="1">
      <c r="B154" s="327" t="s">
        <v>352</v>
      </c>
      <c r="C154" s="328">
        <f t="shared" ref="C154:F154" si="468">C132+C153</f>
        <v>16330455.060333312</v>
      </c>
      <c r="D154" s="328">
        <f t="shared" si="468"/>
        <v>18836342.38656887</v>
      </c>
      <c r="E154" s="328">
        <f t="shared" si="468"/>
        <v>21892893.23169332</v>
      </c>
      <c r="F154" s="328">
        <f t="shared" si="468"/>
        <v>24959939.278112225</v>
      </c>
      <c r="G154" s="328">
        <f t="shared" ref="G154" si="469">G132+G153</f>
        <v>25115467.174138509</v>
      </c>
      <c r="H154" s="328">
        <f t="shared" ref="H154:K154" si="470">H132+H153</f>
        <v>37656953.797364615</v>
      </c>
      <c r="I154" s="328">
        <f t="shared" si="470"/>
        <v>47815182.06425488</v>
      </c>
      <c r="J154" s="328">
        <f t="shared" si="470"/>
        <v>57973410.331145138</v>
      </c>
      <c r="K154" s="328">
        <f t="shared" si="470"/>
        <v>68131638.598035395</v>
      </c>
      <c r="L154" s="342"/>
      <c r="M154" s="327" t="s">
        <v>352</v>
      </c>
      <c r="N154" s="328" t="e">
        <f t="shared" ref="N154:R154" si="471">N132+N153</f>
        <v>#REF!</v>
      </c>
      <c r="O154" s="328" t="e">
        <f t="shared" si="471"/>
        <v>#REF!</v>
      </c>
      <c r="P154" s="328" t="e">
        <f t="shared" si="471"/>
        <v>#REF!</v>
      </c>
      <c r="Q154" s="328" t="e">
        <f t="shared" si="471"/>
        <v>#REF!</v>
      </c>
      <c r="R154" s="328" t="e">
        <f t="shared" si="471"/>
        <v>#REF!</v>
      </c>
      <c r="S154" s="342"/>
      <c r="T154" s="327" t="s">
        <v>352</v>
      </c>
      <c r="U154" s="328" t="e">
        <f t="shared" ref="U154:Y154" si="472">U132+U153</f>
        <v>#REF!</v>
      </c>
      <c r="V154" s="328" t="e">
        <f t="shared" si="472"/>
        <v>#REF!</v>
      </c>
      <c r="W154" s="328" t="e">
        <f t="shared" si="472"/>
        <v>#REF!</v>
      </c>
      <c r="X154" s="328" t="e">
        <f t="shared" si="472"/>
        <v>#REF!</v>
      </c>
      <c r="Y154" s="328" t="e">
        <f t="shared" si="472"/>
        <v>#REF!</v>
      </c>
      <c r="Z154" s="342"/>
      <c r="AA154" s="327" t="s">
        <v>352</v>
      </c>
      <c r="AB154" s="328" t="e">
        <f t="shared" ref="AB154:AF154" si="473">AB132+AB153</f>
        <v>#REF!</v>
      </c>
      <c r="AC154" s="328" t="e">
        <f t="shared" si="473"/>
        <v>#REF!</v>
      </c>
      <c r="AD154" s="328" t="e">
        <f t="shared" si="473"/>
        <v>#REF!</v>
      </c>
      <c r="AE154" s="328" t="e">
        <f t="shared" si="473"/>
        <v>#REF!</v>
      </c>
      <c r="AF154" s="328" t="e">
        <f t="shared" si="473"/>
        <v>#REF!</v>
      </c>
      <c r="AH154" s="435" t="e">
        <f t="shared" si="434"/>
        <v>#REF!</v>
      </c>
      <c r="AI154" s="435" t="e">
        <f t="shared" si="434"/>
        <v>#REF!</v>
      </c>
      <c r="AJ154" s="435" t="e">
        <f t="shared" si="434"/>
        <v>#REF!</v>
      </c>
      <c r="AK154" s="435" t="e">
        <f t="shared" si="434"/>
        <v>#REF!</v>
      </c>
      <c r="AL154" s="435" t="e">
        <f t="shared" si="434"/>
        <v>#REF!</v>
      </c>
      <c r="AM154" s="444"/>
    </row>
    <row r="155" spans="1:39" s="62" customFormat="1">
      <c r="B155" s="327"/>
      <c r="C155" s="329"/>
      <c r="D155" s="329"/>
      <c r="E155" s="329"/>
      <c r="F155" s="329"/>
      <c r="G155" s="329"/>
      <c r="H155" s="329"/>
      <c r="I155" s="329"/>
      <c r="J155" s="329"/>
      <c r="K155" s="329"/>
      <c r="L155" s="342"/>
      <c r="M155" s="327"/>
      <c r="N155" s="329"/>
      <c r="O155" s="329"/>
      <c r="P155" s="329"/>
      <c r="Q155" s="329"/>
      <c r="R155" s="329"/>
      <c r="S155" s="342"/>
      <c r="T155" s="327"/>
      <c r="U155" s="329"/>
      <c r="V155" s="329"/>
      <c r="W155" s="329"/>
      <c r="X155" s="329"/>
      <c r="Y155" s="329"/>
      <c r="Z155" s="342"/>
      <c r="AA155" s="327"/>
      <c r="AB155" s="329"/>
      <c r="AC155" s="329"/>
      <c r="AD155" s="329"/>
      <c r="AE155" s="329"/>
      <c r="AF155" s="329"/>
      <c r="AH155" s="435">
        <f t="shared" si="434"/>
        <v>0</v>
      </c>
      <c r="AI155" s="435">
        <f t="shared" si="434"/>
        <v>0</v>
      </c>
      <c r="AJ155" s="435">
        <f t="shared" si="434"/>
        <v>0</v>
      </c>
      <c r="AK155" s="435">
        <f t="shared" si="434"/>
        <v>0</v>
      </c>
      <c r="AL155" s="435">
        <f t="shared" si="434"/>
        <v>0</v>
      </c>
      <c r="AM155" s="444"/>
    </row>
    <row r="156" spans="1:39" s="96" customFormat="1" ht="29.1" customHeight="1" outlineLevel="1">
      <c r="A156" s="39" t="s">
        <v>353</v>
      </c>
      <c r="B156" s="40" t="s">
        <v>354</v>
      </c>
      <c r="C156" s="41">
        <v>602931.7699999999</v>
      </c>
      <c r="D156" s="41">
        <v>388495.4466666666</v>
      </c>
      <c r="E156" s="41">
        <v>572316.42333333334</v>
      </c>
      <c r="F156" s="41">
        <v>380822.53959905746</v>
      </c>
      <c r="G156" s="41">
        <f t="shared" ref="G156:G163" si="474">F156</f>
        <v>380822.53959905746</v>
      </c>
      <c r="H156" s="41">
        <f t="shared" ref="H156:K163" si="475">G156</f>
        <v>380822.53959905746</v>
      </c>
      <c r="I156" s="41">
        <f t="shared" si="475"/>
        <v>380822.53959905746</v>
      </c>
      <c r="J156" s="41">
        <f t="shared" si="475"/>
        <v>380822.53959905746</v>
      </c>
      <c r="K156" s="41">
        <f t="shared" si="475"/>
        <v>380822.53959905746</v>
      </c>
      <c r="L156" s="333"/>
      <c r="M156" s="40" t="s">
        <v>354</v>
      </c>
      <c r="N156" s="41">
        <f t="shared" ref="N156:N163" si="476">G156-U156-AB156</f>
        <v>380822.53959905746</v>
      </c>
      <c r="O156" s="41">
        <f t="shared" ref="O156:O163" si="477">N156</f>
        <v>380822.53959905746</v>
      </c>
      <c r="P156" s="41">
        <f t="shared" ref="P156:P163" si="478">O156</f>
        <v>380822.53959905746</v>
      </c>
      <c r="Q156" s="41">
        <f t="shared" ref="Q156:Q163" si="479">P156</f>
        <v>380822.53959905746</v>
      </c>
      <c r="R156" s="41">
        <f t="shared" ref="R156:R163" si="480">Q156</f>
        <v>380822.53959905746</v>
      </c>
      <c r="S156" s="333"/>
      <c r="T156" s="40" t="s">
        <v>333</v>
      </c>
      <c r="U156" s="41">
        <v>0</v>
      </c>
      <c r="V156" s="41">
        <f t="shared" ref="V156:V163" si="481">U156</f>
        <v>0</v>
      </c>
      <c r="W156" s="41">
        <f t="shared" ref="W156:W163" si="482">V156</f>
        <v>0</v>
      </c>
      <c r="X156" s="41">
        <f t="shared" ref="X156:X163" si="483">W156</f>
        <v>0</v>
      </c>
      <c r="Y156" s="41">
        <f t="shared" ref="Y156:Y163" si="484">X156</f>
        <v>0</v>
      </c>
      <c r="Z156" s="333"/>
      <c r="AA156" s="40" t="s">
        <v>333</v>
      </c>
      <c r="AB156" s="41">
        <v>0</v>
      </c>
      <c r="AC156" s="41">
        <f t="shared" ref="AC156:AC159" si="485">AB156</f>
        <v>0</v>
      </c>
      <c r="AD156" s="41">
        <f t="shared" ref="AD156:AD159" si="486">AC156</f>
        <v>0</v>
      </c>
      <c r="AE156" s="41">
        <f t="shared" ref="AE156:AE159" si="487">AD156</f>
        <v>0</v>
      </c>
      <c r="AF156" s="41">
        <f t="shared" ref="AF156:AF159" si="488">AE156</f>
        <v>0</v>
      </c>
      <c r="AH156" s="435">
        <f t="shared" si="434"/>
        <v>0</v>
      </c>
      <c r="AI156" s="435">
        <f t="shared" si="434"/>
        <v>0</v>
      </c>
      <c r="AJ156" s="435">
        <f t="shared" si="434"/>
        <v>0</v>
      </c>
      <c r="AK156" s="435">
        <f t="shared" si="434"/>
        <v>0</v>
      </c>
      <c r="AL156" s="435">
        <f t="shared" si="434"/>
        <v>0</v>
      </c>
      <c r="AM156" s="444"/>
    </row>
    <row r="157" spans="1:39" s="96" customFormat="1" ht="18.95" customHeight="1" outlineLevel="1">
      <c r="A157" s="39" t="s">
        <v>355</v>
      </c>
      <c r="B157" s="40" t="s">
        <v>356</v>
      </c>
      <c r="C157" s="41">
        <v>23106.666666666668</v>
      </c>
      <c r="D157" s="41">
        <v>10606.666666666666</v>
      </c>
      <c r="E157" s="41">
        <v>3017.5933333333337</v>
      </c>
      <c r="F157" s="41">
        <v>17216.296666666665</v>
      </c>
      <c r="G157" s="41">
        <f t="shared" si="474"/>
        <v>17216.296666666665</v>
      </c>
      <c r="H157" s="41">
        <f t="shared" si="475"/>
        <v>17216.296666666665</v>
      </c>
      <c r="I157" s="41">
        <f t="shared" si="475"/>
        <v>17216.296666666665</v>
      </c>
      <c r="J157" s="41">
        <f t="shared" si="475"/>
        <v>17216.296666666665</v>
      </c>
      <c r="K157" s="41">
        <f t="shared" si="475"/>
        <v>17216.296666666665</v>
      </c>
      <c r="L157" s="333"/>
      <c r="M157" s="40" t="s">
        <v>356</v>
      </c>
      <c r="N157" s="41">
        <f t="shared" si="476"/>
        <v>17216.296666666665</v>
      </c>
      <c r="O157" s="41">
        <f t="shared" si="477"/>
        <v>17216.296666666665</v>
      </c>
      <c r="P157" s="41">
        <f t="shared" si="478"/>
        <v>17216.296666666665</v>
      </c>
      <c r="Q157" s="41">
        <f t="shared" si="479"/>
        <v>17216.296666666665</v>
      </c>
      <c r="R157" s="41">
        <f t="shared" si="480"/>
        <v>17216.296666666665</v>
      </c>
      <c r="S157" s="333"/>
      <c r="T157" s="40" t="s">
        <v>333</v>
      </c>
      <c r="U157" s="41">
        <v>0</v>
      </c>
      <c r="V157" s="41">
        <f t="shared" si="481"/>
        <v>0</v>
      </c>
      <c r="W157" s="41">
        <f t="shared" si="482"/>
        <v>0</v>
      </c>
      <c r="X157" s="41">
        <f t="shared" si="483"/>
        <v>0</v>
      </c>
      <c r="Y157" s="41">
        <f t="shared" si="484"/>
        <v>0</v>
      </c>
      <c r="Z157" s="333"/>
      <c r="AA157" s="40" t="s">
        <v>333</v>
      </c>
      <c r="AB157" s="41">
        <v>0</v>
      </c>
      <c r="AC157" s="41">
        <f t="shared" si="485"/>
        <v>0</v>
      </c>
      <c r="AD157" s="41">
        <f t="shared" si="486"/>
        <v>0</v>
      </c>
      <c r="AE157" s="41">
        <f t="shared" si="487"/>
        <v>0</v>
      </c>
      <c r="AF157" s="41">
        <f t="shared" si="488"/>
        <v>0</v>
      </c>
      <c r="AH157" s="435">
        <f t="shared" si="434"/>
        <v>0</v>
      </c>
      <c r="AI157" s="435">
        <f t="shared" si="434"/>
        <v>0</v>
      </c>
      <c r="AJ157" s="435">
        <f t="shared" si="434"/>
        <v>0</v>
      </c>
      <c r="AK157" s="435">
        <f t="shared" si="434"/>
        <v>0</v>
      </c>
      <c r="AL157" s="435">
        <f t="shared" si="434"/>
        <v>0</v>
      </c>
      <c r="AM157" s="444"/>
    </row>
    <row r="158" spans="1:39" s="96" customFormat="1" ht="18.95" customHeight="1" outlineLevel="1">
      <c r="A158" s="39" t="s">
        <v>357</v>
      </c>
      <c r="B158" s="40" t="s">
        <v>358</v>
      </c>
      <c r="C158" s="41">
        <v>-999</v>
      </c>
      <c r="D158" s="41">
        <v>-999</v>
      </c>
      <c r="E158" s="41">
        <v>445</v>
      </c>
      <c r="F158" s="41">
        <v>445</v>
      </c>
      <c r="G158" s="41">
        <f t="shared" si="474"/>
        <v>445</v>
      </c>
      <c r="H158" s="41">
        <f t="shared" si="475"/>
        <v>445</v>
      </c>
      <c r="I158" s="41">
        <f t="shared" si="475"/>
        <v>445</v>
      </c>
      <c r="J158" s="41">
        <f t="shared" si="475"/>
        <v>445</v>
      </c>
      <c r="K158" s="41">
        <f t="shared" si="475"/>
        <v>445</v>
      </c>
      <c r="L158" s="333"/>
      <c r="M158" s="40" t="s">
        <v>358</v>
      </c>
      <c r="N158" s="41">
        <f t="shared" si="476"/>
        <v>445</v>
      </c>
      <c r="O158" s="41">
        <f t="shared" si="477"/>
        <v>445</v>
      </c>
      <c r="P158" s="41">
        <f t="shared" si="478"/>
        <v>445</v>
      </c>
      <c r="Q158" s="41">
        <f t="shared" si="479"/>
        <v>445</v>
      </c>
      <c r="R158" s="41">
        <f t="shared" si="480"/>
        <v>445</v>
      </c>
      <c r="S158" s="333"/>
      <c r="T158" s="40" t="s">
        <v>333</v>
      </c>
      <c r="U158" s="41">
        <v>0</v>
      </c>
      <c r="V158" s="41">
        <f t="shared" si="481"/>
        <v>0</v>
      </c>
      <c r="W158" s="41">
        <f t="shared" si="482"/>
        <v>0</v>
      </c>
      <c r="X158" s="41">
        <f t="shared" si="483"/>
        <v>0</v>
      </c>
      <c r="Y158" s="41">
        <f t="shared" si="484"/>
        <v>0</v>
      </c>
      <c r="Z158" s="333"/>
      <c r="AA158" s="40" t="s">
        <v>333</v>
      </c>
      <c r="AB158" s="41">
        <v>0</v>
      </c>
      <c r="AC158" s="41">
        <f t="shared" si="485"/>
        <v>0</v>
      </c>
      <c r="AD158" s="41">
        <f t="shared" si="486"/>
        <v>0</v>
      </c>
      <c r="AE158" s="41">
        <f t="shared" si="487"/>
        <v>0</v>
      </c>
      <c r="AF158" s="41">
        <f t="shared" si="488"/>
        <v>0</v>
      </c>
      <c r="AH158" s="435">
        <f t="shared" si="434"/>
        <v>0</v>
      </c>
      <c r="AI158" s="435">
        <f t="shared" si="434"/>
        <v>0</v>
      </c>
      <c r="AJ158" s="435">
        <f t="shared" si="434"/>
        <v>0</v>
      </c>
      <c r="AK158" s="435">
        <f t="shared" si="434"/>
        <v>0</v>
      </c>
      <c r="AL158" s="435">
        <f t="shared" si="434"/>
        <v>0</v>
      </c>
      <c r="AM158" s="444"/>
    </row>
    <row r="159" spans="1:39" s="96" customFormat="1" ht="18.95" customHeight="1" outlineLevel="1">
      <c r="A159" s="39" t="s">
        <v>359</v>
      </c>
      <c r="B159" s="40" t="s">
        <v>360</v>
      </c>
      <c r="C159" s="41">
        <v>160205.16666666666</v>
      </c>
      <c r="D159" s="41">
        <v>183463</v>
      </c>
      <c r="E159" s="41">
        <v>256492.83333333334</v>
      </c>
      <c r="F159" s="41">
        <v>203758.33666666667</v>
      </c>
      <c r="G159" s="41">
        <f t="shared" si="474"/>
        <v>203758.33666666667</v>
      </c>
      <c r="H159" s="41">
        <f t="shared" si="475"/>
        <v>203758.33666666667</v>
      </c>
      <c r="I159" s="41">
        <f t="shared" si="475"/>
        <v>203758.33666666667</v>
      </c>
      <c r="J159" s="41">
        <f t="shared" si="475"/>
        <v>203758.33666666667</v>
      </c>
      <c r="K159" s="41">
        <f t="shared" si="475"/>
        <v>203758.33666666667</v>
      </c>
      <c r="L159" s="333"/>
      <c r="M159" s="40" t="s">
        <v>360</v>
      </c>
      <c r="N159" s="41">
        <f t="shared" si="476"/>
        <v>203758.33666666667</v>
      </c>
      <c r="O159" s="41">
        <f t="shared" si="477"/>
        <v>203758.33666666667</v>
      </c>
      <c r="P159" s="41">
        <f t="shared" si="478"/>
        <v>203758.33666666667</v>
      </c>
      <c r="Q159" s="41">
        <f t="shared" si="479"/>
        <v>203758.33666666667</v>
      </c>
      <c r="R159" s="41">
        <f t="shared" si="480"/>
        <v>203758.33666666667</v>
      </c>
      <c r="S159" s="333"/>
      <c r="T159" s="40" t="s">
        <v>333</v>
      </c>
      <c r="U159" s="41">
        <v>0</v>
      </c>
      <c r="V159" s="41">
        <f t="shared" si="481"/>
        <v>0</v>
      </c>
      <c r="W159" s="41">
        <f t="shared" si="482"/>
        <v>0</v>
      </c>
      <c r="X159" s="41">
        <f t="shared" si="483"/>
        <v>0</v>
      </c>
      <c r="Y159" s="41">
        <f t="shared" si="484"/>
        <v>0</v>
      </c>
      <c r="Z159" s="333"/>
      <c r="AA159" s="40" t="s">
        <v>333</v>
      </c>
      <c r="AB159" s="41">
        <v>0</v>
      </c>
      <c r="AC159" s="41">
        <f t="shared" si="485"/>
        <v>0</v>
      </c>
      <c r="AD159" s="41">
        <f t="shared" si="486"/>
        <v>0</v>
      </c>
      <c r="AE159" s="41">
        <f t="shared" si="487"/>
        <v>0</v>
      </c>
      <c r="AF159" s="41">
        <f t="shared" si="488"/>
        <v>0</v>
      </c>
      <c r="AH159" s="435">
        <f t="shared" si="434"/>
        <v>0</v>
      </c>
      <c r="AI159" s="435">
        <f t="shared" si="434"/>
        <v>0</v>
      </c>
      <c r="AJ159" s="435">
        <f t="shared" si="434"/>
        <v>0</v>
      </c>
      <c r="AK159" s="435">
        <f t="shared" si="434"/>
        <v>0</v>
      </c>
      <c r="AL159" s="435">
        <f t="shared" si="434"/>
        <v>0</v>
      </c>
      <c r="AM159" s="444"/>
    </row>
    <row r="160" spans="1:39" s="96" customFormat="1" ht="18.95" customHeight="1" outlineLevel="1">
      <c r="A160" s="39" t="s">
        <v>361</v>
      </c>
      <c r="B160" s="40" t="s">
        <v>362</v>
      </c>
      <c r="C160" s="41">
        <v>47739.535000000011</v>
      </c>
      <c r="D160" s="41">
        <v>72399.468333334546</v>
      </c>
      <c r="E160" s="41">
        <v>71542.751666668162</v>
      </c>
      <c r="F160" s="41">
        <v>73000</v>
      </c>
      <c r="G160" s="471">
        <f>(F160+(G82-F82))+-560874.83377872</f>
        <v>-909708.77718168963</v>
      </c>
      <c r="H160" s="41">
        <f t="shared" ref="H160:K160" si="489">G160+(H82-G82)</f>
        <v>1473549.5791541636</v>
      </c>
      <c r="I160" s="41">
        <f t="shared" si="489"/>
        <v>1473549.5791541636</v>
      </c>
      <c r="J160" s="41">
        <f t="shared" si="489"/>
        <v>1473549.5791541636</v>
      </c>
      <c r="K160" s="41">
        <f t="shared" si="489"/>
        <v>1473549.5791541636</v>
      </c>
      <c r="L160" s="333"/>
      <c r="M160" s="40" t="s">
        <v>362</v>
      </c>
      <c r="N160" s="41">
        <f t="shared" si="476"/>
        <v>-909708.77718168963</v>
      </c>
      <c r="O160" s="41" t="e">
        <f t="shared" ref="O160" si="490">N160+(O82-N82)</f>
        <v>#REF!</v>
      </c>
      <c r="P160" s="41" t="e">
        <f t="shared" ref="P160" si="491">O160+(P82-O82)</f>
        <v>#REF!</v>
      </c>
      <c r="Q160" s="41" t="e">
        <f t="shared" ref="Q160" si="492">P160+(Q82-P82)</f>
        <v>#REF!</v>
      </c>
      <c r="R160" s="41" t="e">
        <f t="shared" ref="R160" si="493">Q160+(R82-Q82)</f>
        <v>#REF!</v>
      </c>
      <c r="S160" s="333"/>
      <c r="T160" s="40" t="s">
        <v>333</v>
      </c>
      <c r="U160" s="41">
        <v>0</v>
      </c>
      <c r="V160" s="41" t="e">
        <f t="shared" ref="V160" si="494">U160+(V82-U82)</f>
        <v>#REF!</v>
      </c>
      <c r="W160" s="41" t="e">
        <f t="shared" ref="W160" si="495">V160+(W82-V82)</f>
        <v>#REF!</v>
      </c>
      <c r="X160" s="41" t="e">
        <f t="shared" ref="X160" si="496">W160+(X82-W82)</f>
        <v>#REF!</v>
      </c>
      <c r="Y160" s="41" t="e">
        <f t="shared" ref="Y160" si="497">X160+(Y82-X82)</f>
        <v>#REF!</v>
      </c>
      <c r="Z160" s="333"/>
      <c r="AA160" s="40" t="s">
        <v>333</v>
      </c>
      <c r="AB160" s="41">
        <v>0</v>
      </c>
      <c r="AC160" s="41" t="e">
        <f t="shared" ref="AC160" si="498">AB160+(AC82-AB82)</f>
        <v>#REF!</v>
      </c>
      <c r="AD160" s="41" t="e">
        <f t="shared" ref="AD160" si="499">AC160+(AD82-AC82)</f>
        <v>#REF!</v>
      </c>
      <c r="AE160" s="41" t="e">
        <f t="shared" ref="AE160" si="500">AD160+(AE82-AD82)</f>
        <v>#REF!</v>
      </c>
      <c r="AF160" s="41" t="e">
        <f t="shared" ref="AF160" si="501">AE160+(AF82-AE82)</f>
        <v>#REF!</v>
      </c>
      <c r="AH160" s="435">
        <f t="shared" si="434"/>
        <v>0</v>
      </c>
      <c r="AI160" s="435" t="e">
        <f t="shared" si="434"/>
        <v>#REF!</v>
      </c>
      <c r="AJ160" s="435" t="e">
        <f t="shared" si="434"/>
        <v>#REF!</v>
      </c>
      <c r="AK160" s="435" t="e">
        <f t="shared" si="434"/>
        <v>#REF!</v>
      </c>
      <c r="AL160" s="435" t="e">
        <f t="shared" si="434"/>
        <v>#REF!</v>
      </c>
      <c r="AM160" s="444"/>
    </row>
    <row r="161" spans="1:39" s="96" customFormat="1" ht="18.95" customHeight="1" outlineLevel="1">
      <c r="A161" s="39" t="s">
        <v>363</v>
      </c>
      <c r="B161" s="40" t="s">
        <v>364</v>
      </c>
      <c r="C161" s="41">
        <v>28409.333333333332</v>
      </c>
      <c r="D161" s="41">
        <v>32373</v>
      </c>
      <c r="E161" s="41">
        <v>25061.833333333332</v>
      </c>
      <c r="F161" s="41">
        <v>21929.540000000005</v>
      </c>
      <c r="G161" s="41">
        <f t="shared" si="474"/>
        <v>21929.540000000005</v>
      </c>
      <c r="H161" s="41">
        <f t="shared" si="475"/>
        <v>21929.540000000005</v>
      </c>
      <c r="I161" s="41">
        <f t="shared" si="475"/>
        <v>21929.540000000005</v>
      </c>
      <c r="J161" s="41">
        <f t="shared" si="475"/>
        <v>21929.540000000005</v>
      </c>
      <c r="K161" s="41">
        <f t="shared" si="475"/>
        <v>21929.540000000005</v>
      </c>
      <c r="L161" s="333"/>
      <c r="M161" s="40" t="s">
        <v>364</v>
      </c>
      <c r="N161" s="41">
        <f t="shared" si="476"/>
        <v>21929.540000000005</v>
      </c>
      <c r="O161" s="41">
        <f t="shared" si="477"/>
        <v>21929.540000000005</v>
      </c>
      <c r="P161" s="41">
        <f t="shared" si="478"/>
        <v>21929.540000000005</v>
      </c>
      <c r="Q161" s="41">
        <f t="shared" si="479"/>
        <v>21929.540000000005</v>
      </c>
      <c r="R161" s="41">
        <f t="shared" si="480"/>
        <v>21929.540000000005</v>
      </c>
      <c r="S161" s="333"/>
      <c r="T161" s="40" t="s">
        <v>333</v>
      </c>
      <c r="U161" s="41">
        <v>0</v>
      </c>
      <c r="V161" s="41">
        <f t="shared" si="481"/>
        <v>0</v>
      </c>
      <c r="W161" s="41">
        <f t="shared" si="482"/>
        <v>0</v>
      </c>
      <c r="X161" s="41">
        <f t="shared" si="483"/>
        <v>0</v>
      </c>
      <c r="Y161" s="41">
        <f t="shared" si="484"/>
        <v>0</v>
      </c>
      <c r="Z161" s="333"/>
      <c r="AA161" s="40" t="s">
        <v>333</v>
      </c>
      <c r="AB161" s="41">
        <v>0</v>
      </c>
      <c r="AC161" s="41">
        <f t="shared" ref="AC161:AC163" si="502">AB161</f>
        <v>0</v>
      </c>
      <c r="AD161" s="41">
        <f t="shared" ref="AD161:AD163" si="503">AC161</f>
        <v>0</v>
      </c>
      <c r="AE161" s="41">
        <f t="shared" ref="AE161:AE163" si="504">AD161</f>
        <v>0</v>
      </c>
      <c r="AF161" s="41">
        <f t="shared" ref="AF161:AF163" si="505">AE161</f>
        <v>0</v>
      </c>
      <c r="AH161" s="435">
        <f t="shared" si="434"/>
        <v>0</v>
      </c>
      <c r="AI161" s="435">
        <f t="shared" si="434"/>
        <v>0</v>
      </c>
      <c r="AJ161" s="435">
        <f t="shared" si="434"/>
        <v>0</v>
      </c>
      <c r="AK161" s="435">
        <f t="shared" si="434"/>
        <v>0</v>
      </c>
      <c r="AL161" s="435">
        <f t="shared" si="434"/>
        <v>0</v>
      </c>
      <c r="AM161" s="444"/>
    </row>
    <row r="162" spans="1:39" s="96" customFormat="1" ht="18.95" customHeight="1" outlineLevel="1">
      <c r="A162" s="39" t="s">
        <v>365</v>
      </c>
      <c r="B162" s="40" t="s">
        <v>345</v>
      </c>
      <c r="C162" s="41">
        <v>3951.6666666666665</v>
      </c>
      <c r="D162" s="41">
        <v>-2180.3333333333335</v>
      </c>
      <c r="E162" s="41">
        <v>6495.833333333333</v>
      </c>
      <c r="F162" s="41">
        <v>2846.3300000000004</v>
      </c>
      <c r="G162" s="41">
        <f t="shared" si="474"/>
        <v>2846.3300000000004</v>
      </c>
      <c r="H162" s="41">
        <f t="shared" si="475"/>
        <v>2846.3300000000004</v>
      </c>
      <c r="I162" s="41">
        <f t="shared" si="475"/>
        <v>2846.3300000000004</v>
      </c>
      <c r="J162" s="41">
        <f t="shared" si="475"/>
        <v>2846.3300000000004</v>
      </c>
      <c r="K162" s="41">
        <f t="shared" si="475"/>
        <v>2846.3300000000004</v>
      </c>
      <c r="L162" s="333"/>
      <c r="M162" s="40" t="s">
        <v>345</v>
      </c>
      <c r="N162" s="41">
        <f t="shared" si="476"/>
        <v>2846.3300000000004</v>
      </c>
      <c r="O162" s="41">
        <f t="shared" si="477"/>
        <v>2846.3300000000004</v>
      </c>
      <c r="P162" s="41">
        <f t="shared" si="478"/>
        <v>2846.3300000000004</v>
      </c>
      <c r="Q162" s="41">
        <f t="shared" si="479"/>
        <v>2846.3300000000004</v>
      </c>
      <c r="R162" s="41">
        <f t="shared" si="480"/>
        <v>2846.3300000000004</v>
      </c>
      <c r="S162" s="333"/>
      <c r="T162" s="40" t="s">
        <v>333</v>
      </c>
      <c r="U162" s="41">
        <v>0</v>
      </c>
      <c r="V162" s="41">
        <f t="shared" si="481"/>
        <v>0</v>
      </c>
      <c r="W162" s="41">
        <f t="shared" si="482"/>
        <v>0</v>
      </c>
      <c r="X162" s="41">
        <f t="shared" si="483"/>
        <v>0</v>
      </c>
      <c r="Y162" s="41">
        <f t="shared" si="484"/>
        <v>0</v>
      </c>
      <c r="Z162" s="333"/>
      <c r="AA162" s="40" t="s">
        <v>333</v>
      </c>
      <c r="AB162" s="41">
        <v>0</v>
      </c>
      <c r="AC162" s="41">
        <f t="shared" si="502"/>
        <v>0</v>
      </c>
      <c r="AD162" s="41">
        <f t="shared" si="503"/>
        <v>0</v>
      </c>
      <c r="AE162" s="41">
        <f t="shared" si="504"/>
        <v>0</v>
      </c>
      <c r="AF162" s="41">
        <f t="shared" si="505"/>
        <v>0</v>
      </c>
      <c r="AH162" s="435">
        <f t="shared" si="434"/>
        <v>0</v>
      </c>
      <c r="AI162" s="435">
        <f t="shared" si="434"/>
        <v>0</v>
      </c>
      <c r="AJ162" s="435">
        <f t="shared" si="434"/>
        <v>0</v>
      </c>
      <c r="AK162" s="435">
        <f t="shared" si="434"/>
        <v>0</v>
      </c>
      <c r="AL162" s="435">
        <f t="shared" si="434"/>
        <v>0</v>
      </c>
      <c r="AM162" s="444"/>
    </row>
    <row r="163" spans="1:39" s="96" customFormat="1" ht="18.95" customHeight="1" outlineLevel="1">
      <c r="A163" s="39" t="s">
        <v>366</v>
      </c>
      <c r="B163" s="40" t="s">
        <v>348</v>
      </c>
      <c r="C163" s="44">
        <v>50238.293333333335</v>
      </c>
      <c r="D163" s="44">
        <v>31037.85666666667</v>
      </c>
      <c r="E163" s="44">
        <v>42639.248333333329</v>
      </c>
      <c r="F163" s="44">
        <v>510155.40666666668</v>
      </c>
      <c r="G163" s="44">
        <f t="shared" si="474"/>
        <v>510155.40666666668</v>
      </c>
      <c r="H163" s="44">
        <f t="shared" si="475"/>
        <v>510155.40666666668</v>
      </c>
      <c r="I163" s="44">
        <f t="shared" si="475"/>
        <v>510155.40666666668</v>
      </c>
      <c r="J163" s="44">
        <f t="shared" si="475"/>
        <v>510155.40666666668</v>
      </c>
      <c r="K163" s="44">
        <f t="shared" si="475"/>
        <v>510155.40666666668</v>
      </c>
      <c r="L163" s="333"/>
      <c r="M163" s="40" t="s">
        <v>348</v>
      </c>
      <c r="N163" s="44">
        <f t="shared" si="476"/>
        <v>510155.40666666668</v>
      </c>
      <c r="O163" s="41">
        <f t="shared" si="477"/>
        <v>510155.40666666668</v>
      </c>
      <c r="P163" s="41">
        <f t="shared" si="478"/>
        <v>510155.40666666668</v>
      </c>
      <c r="Q163" s="41">
        <f t="shared" si="479"/>
        <v>510155.40666666668</v>
      </c>
      <c r="R163" s="41">
        <f t="shared" si="480"/>
        <v>510155.40666666668</v>
      </c>
      <c r="S163" s="333"/>
      <c r="T163" s="40" t="s">
        <v>333</v>
      </c>
      <c r="U163" s="44">
        <v>0</v>
      </c>
      <c r="V163" s="41">
        <f t="shared" si="481"/>
        <v>0</v>
      </c>
      <c r="W163" s="41">
        <f t="shared" si="482"/>
        <v>0</v>
      </c>
      <c r="X163" s="41">
        <f t="shared" si="483"/>
        <v>0</v>
      </c>
      <c r="Y163" s="41">
        <f t="shared" si="484"/>
        <v>0</v>
      </c>
      <c r="Z163" s="333"/>
      <c r="AA163" s="40" t="s">
        <v>333</v>
      </c>
      <c r="AB163" s="44">
        <v>0</v>
      </c>
      <c r="AC163" s="44">
        <f t="shared" si="502"/>
        <v>0</v>
      </c>
      <c r="AD163" s="44">
        <f t="shared" si="503"/>
        <v>0</v>
      </c>
      <c r="AE163" s="44">
        <f t="shared" si="504"/>
        <v>0</v>
      </c>
      <c r="AF163" s="44">
        <f t="shared" si="505"/>
        <v>0</v>
      </c>
      <c r="AH163" s="435">
        <f t="shared" si="434"/>
        <v>0</v>
      </c>
      <c r="AI163" s="435">
        <f t="shared" si="434"/>
        <v>0</v>
      </c>
      <c r="AJ163" s="435">
        <f t="shared" si="434"/>
        <v>0</v>
      </c>
      <c r="AK163" s="435">
        <f t="shared" si="434"/>
        <v>0</v>
      </c>
      <c r="AL163" s="435">
        <f t="shared" si="434"/>
        <v>0</v>
      </c>
      <c r="AM163" s="444"/>
    </row>
    <row r="164" spans="1:39" s="96" customFormat="1">
      <c r="A164" s="39"/>
      <c r="B164" s="322" t="s">
        <v>367</v>
      </c>
      <c r="C164" s="41">
        <f t="shared" ref="C164:F164" si="506">SUM(C156:C163)</f>
        <v>915583.43166666653</v>
      </c>
      <c r="D164" s="41">
        <f t="shared" si="506"/>
        <v>715196.10500000115</v>
      </c>
      <c r="E164" s="41">
        <f t="shared" si="506"/>
        <v>978011.51666666823</v>
      </c>
      <c r="F164" s="41">
        <f t="shared" si="506"/>
        <v>1210173.4495990574</v>
      </c>
      <c r="G164" s="41">
        <f t="shared" ref="G164" si="507">SUM(G156:G163)</f>
        <v>227464.67241736787</v>
      </c>
      <c r="H164" s="41">
        <f t="shared" ref="H164:K164" si="508">SUM(H156:H163)</f>
        <v>2610723.028753221</v>
      </c>
      <c r="I164" s="41">
        <f t="shared" si="508"/>
        <v>2610723.028753221</v>
      </c>
      <c r="J164" s="41">
        <f t="shared" si="508"/>
        <v>2610723.028753221</v>
      </c>
      <c r="K164" s="41">
        <f t="shared" si="508"/>
        <v>2610723.028753221</v>
      </c>
      <c r="L164" s="333"/>
      <c r="M164" s="322" t="s">
        <v>367</v>
      </c>
      <c r="N164" s="41">
        <f t="shared" ref="N164" si="509">SUM(N156:N163)</f>
        <v>227464.67241736787</v>
      </c>
      <c r="O164" s="41" t="e">
        <f t="shared" ref="O164:R164" si="510">SUM(O156:O163)</f>
        <v>#REF!</v>
      </c>
      <c r="P164" s="41" t="e">
        <f t="shared" si="510"/>
        <v>#REF!</v>
      </c>
      <c r="Q164" s="41" t="e">
        <f t="shared" si="510"/>
        <v>#REF!</v>
      </c>
      <c r="R164" s="41" t="e">
        <f t="shared" si="510"/>
        <v>#REF!</v>
      </c>
      <c r="S164" s="333"/>
      <c r="T164" s="322" t="s">
        <v>367</v>
      </c>
      <c r="U164" s="41">
        <f t="shared" ref="U164" si="511">SUM(U156:U163)</f>
        <v>0</v>
      </c>
      <c r="V164" s="41" t="e">
        <f t="shared" ref="V164:Y164" si="512">SUM(V156:V163)</f>
        <v>#REF!</v>
      </c>
      <c r="W164" s="41" t="e">
        <f t="shared" si="512"/>
        <v>#REF!</v>
      </c>
      <c r="X164" s="41" t="e">
        <f t="shared" si="512"/>
        <v>#REF!</v>
      </c>
      <c r="Y164" s="41" t="e">
        <f t="shared" si="512"/>
        <v>#REF!</v>
      </c>
      <c r="Z164" s="333"/>
      <c r="AA164" s="322" t="s">
        <v>367</v>
      </c>
      <c r="AB164" s="41">
        <f t="shared" ref="AB164" si="513">SUM(AB156:AB163)</f>
        <v>0</v>
      </c>
      <c r="AC164" s="41" t="e">
        <f t="shared" ref="AC164:AF164" si="514">SUM(AC156:AC163)</f>
        <v>#REF!</v>
      </c>
      <c r="AD164" s="41" t="e">
        <f t="shared" si="514"/>
        <v>#REF!</v>
      </c>
      <c r="AE164" s="41" t="e">
        <f t="shared" si="514"/>
        <v>#REF!</v>
      </c>
      <c r="AF164" s="41" t="e">
        <f t="shared" si="514"/>
        <v>#REF!</v>
      </c>
      <c r="AH164" s="435">
        <f t="shared" si="434"/>
        <v>0</v>
      </c>
      <c r="AI164" s="435" t="e">
        <f t="shared" si="434"/>
        <v>#REF!</v>
      </c>
      <c r="AJ164" s="435" t="e">
        <f t="shared" si="434"/>
        <v>#REF!</v>
      </c>
      <c r="AK164" s="435" t="e">
        <f t="shared" si="434"/>
        <v>#REF!</v>
      </c>
      <c r="AL164" s="435" t="e">
        <f t="shared" si="434"/>
        <v>#REF!</v>
      </c>
      <c r="AM164" s="444"/>
    </row>
    <row r="165" spans="1:39" s="321" customFormat="1" ht="26.1" customHeight="1">
      <c r="A165" s="330" t="s">
        <v>368</v>
      </c>
      <c r="B165" s="331" t="s">
        <v>369</v>
      </c>
      <c r="C165" s="332">
        <v>0</v>
      </c>
      <c r="D165" s="332">
        <v>0</v>
      </c>
      <c r="E165" s="332">
        <v>10606.666666666666</v>
      </c>
      <c r="F165" s="332">
        <v>19918.333333333332</v>
      </c>
      <c r="G165" s="332">
        <f>F165</f>
        <v>19918.333333333332</v>
      </c>
      <c r="H165" s="332">
        <f>G165</f>
        <v>19918.333333333332</v>
      </c>
      <c r="I165" s="332">
        <f t="shared" ref="I165:K165" si="515">H165</f>
        <v>19918.333333333332</v>
      </c>
      <c r="J165" s="332">
        <f t="shared" si="515"/>
        <v>19918.333333333332</v>
      </c>
      <c r="K165" s="332">
        <f t="shared" si="515"/>
        <v>19918.333333333332</v>
      </c>
      <c r="L165" s="344"/>
      <c r="M165" s="331" t="s">
        <v>369</v>
      </c>
      <c r="N165" s="332">
        <f>G165-U165-AB165</f>
        <v>19918.333333333332</v>
      </c>
      <c r="O165" s="41">
        <f t="shared" ref="O165" si="516">N165</f>
        <v>19918.333333333332</v>
      </c>
      <c r="P165" s="41">
        <f t="shared" ref="P165" si="517">O165</f>
        <v>19918.333333333332</v>
      </c>
      <c r="Q165" s="41">
        <f t="shared" ref="Q165" si="518">P165</f>
        <v>19918.333333333332</v>
      </c>
      <c r="R165" s="41">
        <f t="shared" ref="R165" si="519">Q165</f>
        <v>19918.333333333332</v>
      </c>
      <c r="S165" s="333"/>
      <c r="T165" s="40" t="s">
        <v>333</v>
      </c>
      <c r="U165" s="332">
        <v>0</v>
      </c>
      <c r="V165" s="41">
        <f t="shared" ref="V165" si="520">U165</f>
        <v>0</v>
      </c>
      <c r="W165" s="41">
        <f t="shared" ref="W165" si="521">V165</f>
        <v>0</v>
      </c>
      <c r="X165" s="41">
        <f t="shared" ref="X165" si="522">W165</f>
        <v>0</v>
      </c>
      <c r="Y165" s="41">
        <f t="shared" ref="Y165" si="523">X165</f>
        <v>0</v>
      </c>
      <c r="Z165" s="333"/>
      <c r="AA165" s="40" t="s">
        <v>333</v>
      </c>
      <c r="AB165" s="332">
        <v>0</v>
      </c>
      <c r="AC165" s="332">
        <f>AB165</f>
        <v>0</v>
      </c>
      <c r="AD165" s="332">
        <f t="shared" ref="AD165" si="524">AC165</f>
        <v>0</v>
      </c>
      <c r="AE165" s="332">
        <f t="shared" ref="AE165" si="525">AD165</f>
        <v>0</v>
      </c>
      <c r="AF165" s="332">
        <f t="shared" ref="AF165" si="526">AE165</f>
        <v>0</v>
      </c>
      <c r="AH165" s="435">
        <f t="shared" si="434"/>
        <v>0</v>
      </c>
      <c r="AI165" s="435">
        <f t="shared" si="434"/>
        <v>0</v>
      </c>
      <c r="AJ165" s="435">
        <f t="shared" si="434"/>
        <v>0</v>
      </c>
      <c r="AK165" s="435">
        <f t="shared" si="434"/>
        <v>0</v>
      </c>
      <c r="AL165" s="435">
        <f t="shared" si="434"/>
        <v>0</v>
      </c>
      <c r="AM165" s="444"/>
    </row>
    <row r="166" spans="1:39" s="326" customFormat="1" ht="27.95" customHeight="1">
      <c r="A166" s="323"/>
      <c r="B166" s="324" t="s">
        <v>370</v>
      </c>
      <c r="C166" s="325">
        <f t="shared" ref="C166:F166" si="527">+C164+C165</f>
        <v>915583.43166666653</v>
      </c>
      <c r="D166" s="325">
        <f t="shared" si="527"/>
        <v>715196.10500000115</v>
      </c>
      <c r="E166" s="325">
        <f t="shared" si="527"/>
        <v>988618.18333333486</v>
      </c>
      <c r="F166" s="325">
        <f t="shared" si="527"/>
        <v>1230091.7829323907</v>
      </c>
      <c r="G166" s="325">
        <f t="shared" ref="G166" si="528">+G164+G165</f>
        <v>247383.00575070121</v>
      </c>
      <c r="H166" s="325">
        <f t="shared" ref="H166:K166" si="529">+H164+H165</f>
        <v>2630641.3620865545</v>
      </c>
      <c r="I166" s="325">
        <f t="shared" si="529"/>
        <v>2630641.3620865545</v>
      </c>
      <c r="J166" s="325">
        <f t="shared" si="529"/>
        <v>2630641.3620865545</v>
      </c>
      <c r="K166" s="325">
        <f t="shared" si="529"/>
        <v>2630641.3620865545</v>
      </c>
      <c r="L166" s="345"/>
      <c r="M166" s="324" t="s">
        <v>370</v>
      </c>
      <c r="N166" s="325">
        <f t="shared" ref="N166:R166" si="530">+N164+N165</f>
        <v>247383.00575070121</v>
      </c>
      <c r="O166" s="325" t="e">
        <f t="shared" si="530"/>
        <v>#REF!</v>
      </c>
      <c r="P166" s="325" t="e">
        <f t="shared" si="530"/>
        <v>#REF!</v>
      </c>
      <c r="Q166" s="325" t="e">
        <f t="shared" si="530"/>
        <v>#REF!</v>
      </c>
      <c r="R166" s="325" t="e">
        <f t="shared" si="530"/>
        <v>#REF!</v>
      </c>
      <c r="S166" s="345"/>
      <c r="T166" s="324" t="s">
        <v>370</v>
      </c>
      <c r="U166" s="325">
        <f t="shared" ref="U166:Y166" si="531">+U164+U165</f>
        <v>0</v>
      </c>
      <c r="V166" s="325" t="e">
        <f t="shared" si="531"/>
        <v>#REF!</v>
      </c>
      <c r="W166" s="325" t="e">
        <f t="shared" si="531"/>
        <v>#REF!</v>
      </c>
      <c r="X166" s="325" t="e">
        <f t="shared" si="531"/>
        <v>#REF!</v>
      </c>
      <c r="Y166" s="325" t="e">
        <f t="shared" si="531"/>
        <v>#REF!</v>
      </c>
      <c r="Z166" s="345"/>
      <c r="AA166" s="324" t="s">
        <v>370</v>
      </c>
      <c r="AB166" s="325">
        <f t="shared" ref="AB166:AF166" si="532">+AB164+AB165</f>
        <v>0</v>
      </c>
      <c r="AC166" s="325" t="e">
        <f t="shared" si="532"/>
        <v>#REF!</v>
      </c>
      <c r="AD166" s="325" t="e">
        <f t="shared" si="532"/>
        <v>#REF!</v>
      </c>
      <c r="AE166" s="325" t="e">
        <f t="shared" si="532"/>
        <v>#REF!</v>
      </c>
      <c r="AF166" s="325" t="e">
        <f t="shared" si="532"/>
        <v>#REF!</v>
      </c>
      <c r="AH166" s="435">
        <f t="shared" si="434"/>
        <v>0</v>
      </c>
      <c r="AI166" s="435" t="e">
        <f t="shared" si="434"/>
        <v>#REF!</v>
      </c>
      <c r="AJ166" s="435" t="e">
        <f t="shared" si="434"/>
        <v>#REF!</v>
      </c>
      <c r="AK166" s="435" t="e">
        <f t="shared" si="434"/>
        <v>#REF!</v>
      </c>
      <c r="AL166" s="435" t="e">
        <f t="shared" si="434"/>
        <v>#REF!</v>
      </c>
      <c r="AM166" s="444"/>
    </row>
    <row r="167" spans="1:39" s="96" customFormat="1" ht="29.1" customHeight="1" outlineLevel="1">
      <c r="A167" s="39" t="s">
        <v>371</v>
      </c>
      <c r="B167" s="40" t="s">
        <v>372</v>
      </c>
      <c r="C167" s="41">
        <v>16666.666666666668</v>
      </c>
      <c r="D167" s="41">
        <v>16666.666666666668</v>
      </c>
      <c r="E167" s="41">
        <v>16666.666666666668</v>
      </c>
      <c r="F167" s="41">
        <v>16666.666666666668</v>
      </c>
      <c r="G167" s="41">
        <f t="shared" ref="G167:G170" si="533">F167</f>
        <v>16666.666666666668</v>
      </c>
      <c r="H167" s="41">
        <f t="shared" ref="H167:K170" si="534">G167</f>
        <v>16666.666666666668</v>
      </c>
      <c r="I167" s="41">
        <f t="shared" si="534"/>
        <v>16666.666666666668</v>
      </c>
      <c r="J167" s="41">
        <f t="shared" si="534"/>
        <v>16666.666666666668</v>
      </c>
      <c r="K167" s="41">
        <f t="shared" si="534"/>
        <v>16666.666666666668</v>
      </c>
      <c r="L167" s="333"/>
      <c r="M167" s="40" t="s">
        <v>372</v>
      </c>
      <c r="N167" s="453">
        <f>G167-U167-AB167</f>
        <v>16666.666666666668</v>
      </c>
      <c r="O167" s="453">
        <f t="shared" ref="O167:O170" si="535">N167</f>
        <v>16666.666666666668</v>
      </c>
      <c r="P167" s="453">
        <f t="shared" ref="P167:P170" si="536">O167</f>
        <v>16666.666666666668</v>
      </c>
      <c r="Q167" s="453">
        <f t="shared" ref="Q167:Q170" si="537">P167</f>
        <v>16666.666666666668</v>
      </c>
      <c r="R167" s="453">
        <f t="shared" ref="R167:R170" si="538">Q167</f>
        <v>16666.666666666668</v>
      </c>
      <c r="S167" s="454"/>
      <c r="T167" s="455" t="s">
        <v>333</v>
      </c>
      <c r="U167" s="453">
        <v>0</v>
      </c>
      <c r="V167" s="453">
        <f t="shared" ref="V167:V170" si="539">U167</f>
        <v>0</v>
      </c>
      <c r="W167" s="453">
        <f t="shared" ref="W167:W170" si="540">V167</f>
        <v>0</v>
      </c>
      <c r="X167" s="453">
        <f t="shared" ref="X167:X170" si="541">W167</f>
        <v>0</v>
      </c>
      <c r="Y167" s="453">
        <f t="shared" ref="Y167:Y170" si="542">X167</f>
        <v>0</v>
      </c>
      <c r="Z167" s="454"/>
      <c r="AA167" s="455" t="s">
        <v>333</v>
      </c>
      <c r="AB167" s="453">
        <v>0</v>
      </c>
      <c r="AC167" s="453">
        <f t="shared" ref="AC167:AC168" si="543">AB167</f>
        <v>0</v>
      </c>
      <c r="AD167" s="453">
        <f t="shared" ref="AD167:AD168" si="544">AC167</f>
        <v>0</v>
      </c>
      <c r="AE167" s="453">
        <f t="shared" ref="AE167:AE168" si="545">AD167</f>
        <v>0</v>
      </c>
      <c r="AF167" s="453">
        <f t="shared" ref="AF167:AF168" si="546">AE167</f>
        <v>0</v>
      </c>
      <c r="AH167" s="435">
        <f t="shared" si="434"/>
        <v>0</v>
      </c>
      <c r="AI167" s="435">
        <f t="shared" si="434"/>
        <v>0</v>
      </c>
      <c r="AJ167" s="435">
        <f t="shared" si="434"/>
        <v>0</v>
      </c>
      <c r="AK167" s="435">
        <f t="shared" si="434"/>
        <v>0</v>
      </c>
      <c r="AL167" s="435">
        <f t="shared" si="434"/>
        <v>0</v>
      </c>
      <c r="AM167" s="444"/>
    </row>
    <row r="168" spans="1:39" s="96" customFormat="1" ht="18.95" customHeight="1" outlineLevel="1">
      <c r="A168" s="39" t="s">
        <v>373</v>
      </c>
      <c r="B168" s="40" t="s">
        <v>374</v>
      </c>
      <c r="C168" s="41">
        <v>1666.6666666666667</v>
      </c>
      <c r="D168" s="41">
        <v>1666.6666666666667</v>
      </c>
      <c r="E168" s="41">
        <v>1666.6666666666667</v>
      </c>
      <c r="F168" s="41">
        <v>1666.6666666666667</v>
      </c>
      <c r="G168" s="41">
        <f t="shared" si="533"/>
        <v>1666.6666666666667</v>
      </c>
      <c r="H168" s="41">
        <f t="shared" si="534"/>
        <v>1666.6666666666667</v>
      </c>
      <c r="I168" s="41">
        <f t="shared" si="534"/>
        <v>1666.6666666666667</v>
      </c>
      <c r="J168" s="41">
        <f t="shared" si="534"/>
        <v>1666.6666666666667</v>
      </c>
      <c r="K168" s="41">
        <f t="shared" si="534"/>
        <v>1666.6666666666667</v>
      </c>
      <c r="L168" s="333"/>
      <c r="M168" s="40" t="s">
        <v>374</v>
      </c>
      <c r="N168" s="41">
        <f>G168-U168-AB168</f>
        <v>1666.6666666666667</v>
      </c>
      <c r="O168" s="41">
        <f t="shared" si="535"/>
        <v>1666.6666666666667</v>
      </c>
      <c r="P168" s="41">
        <f t="shared" si="536"/>
        <v>1666.6666666666667</v>
      </c>
      <c r="Q168" s="41">
        <f t="shared" si="537"/>
        <v>1666.6666666666667</v>
      </c>
      <c r="R168" s="41">
        <f t="shared" si="538"/>
        <v>1666.6666666666667</v>
      </c>
      <c r="S168" s="337"/>
      <c r="T168" s="456" t="s">
        <v>333</v>
      </c>
      <c r="U168" s="41">
        <v>0</v>
      </c>
      <c r="V168" s="41">
        <f t="shared" si="539"/>
        <v>0</v>
      </c>
      <c r="W168" s="41">
        <f t="shared" si="540"/>
        <v>0</v>
      </c>
      <c r="X168" s="41">
        <f t="shared" si="541"/>
        <v>0</v>
      </c>
      <c r="Y168" s="41">
        <f t="shared" si="542"/>
        <v>0</v>
      </c>
      <c r="Z168" s="337"/>
      <c r="AA168" s="456" t="s">
        <v>333</v>
      </c>
      <c r="AB168" s="41">
        <v>0</v>
      </c>
      <c r="AC168" s="41">
        <f t="shared" si="543"/>
        <v>0</v>
      </c>
      <c r="AD168" s="41">
        <f t="shared" si="544"/>
        <v>0</v>
      </c>
      <c r="AE168" s="41">
        <f t="shared" si="545"/>
        <v>0</v>
      </c>
      <c r="AF168" s="41">
        <f t="shared" si="546"/>
        <v>0</v>
      </c>
      <c r="AH168" s="435">
        <f t="shared" si="434"/>
        <v>0</v>
      </c>
      <c r="AI168" s="435">
        <f t="shared" si="434"/>
        <v>0</v>
      </c>
      <c r="AJ168" s="435">
        <f t="shared" si="434"/>
        <v>0</v>
      </c>
      <c r="AK168" s="435">
        <f t="shared" si="434"/>
        <v>0</v>
      </c>
      <c r="AL168" s="435">
        <f t="shared" si="434"/>
        <v>0</v>
      </c>
      <c r="AM168" s="444"/>
    </row>
    <row r="169" spans="1:39" s="96" customFormat="1" ht="18.95" customHeight="1" outlineLevel="1">
      <c r="A169" s="39" t="s">
        <v>375</v>
      </c>
      <c r="B169" s="40" t="s">
        <v>376</v>
      </c>
      <c r="C169" s="41">
        <v>12862252.710000001</v>
      </c>
      <c r="D169" s="41">
        <f>C169+C171</f>
        <v>15396538.295333311</v>
      </c>
      <c r="E169" s="41">
        <f t="shared" ref="E169:F169" si="547">D169+D171</f>
        <v>18102812.948235538</v>
      </c>
      <c r="F169" s="41">
        <f t="shared" si="547"/>
        <v>20885941.715026654</v>
      </c>
      <c r="G169" s="41">
        <f>F169+F171+SUM(G106:G107)</f>
        <v>23711514.161846504</v>
      </c>
      <c r="H169" s="41">
        <f t="shared" ref="H169:K169" si="548">G169+G171+SUM(H106:H107)</f>
        <v>24849750.835054476</v>
      </c>
      <c r="I169" s="41">
        <f t="shared" si="548"/>
        <v>35007979.10194473</v>
      </c>
      <c r="J169" s="41">
        <f t="shared" si="548"/>
        <v>45166207.368834987</v>
      </c>
      <c r="K169" s="41">
        <f t="shared" si="548"/>
        <v>55324435.635725245</v>
      </c>
      <c r="L169" s="333"/>
      <c r="M169" s="40" t="s">
        <v>376</v>
      </c>
      <c r="N169" s="41">
        <f>G169-U169-AB169-G107</f>
        <v>23711514.161846504</v>
      </c>
      <c r="O169" s="41" t="e">
        <f>N169+N170+N171</f>
        <v>#REF!</v>
      </c>
      <c r="P169" s="41" t="e">
        <f>O169+O170+O171</f>
        <v>#REF!</v>
      </c>
      <c r="Q169" s="41" t="e">
        <f>P169+P170+P171</f>
        <v>#REF!</v>
      </c>
      <c r="R169" s="41" t="e">
        <f>Q169+Q170+Q171</f>
        <v>#REF!</v>
      </c>
      <c r="S169" s="337"/>
      <c r="T169" s="456" t="s">
        <v>333</v>
      </c>
      <c r="U169" s="41">
        <v>0</v>
      </c>
      <c r="V169" s="453" t="e">
        <f>U169+U170+U171</f>
        <v>#REF!</v>
      </c>
      <c r="W169" s="453" t="e">
        <f t="shared" ref="W169:Y169" si="549">V169+V170+V171</f>
        <v>#REF!</v>
      </c>
      <c r="X169" s="453" t="e">
        <f t="shared" si="549"/>
        <v>#REF!</v>
      </c>
      <c r="Y169" s="453" t="e">
        <f t="shared" si="549"/>
        <v>#REF!</v>
      </c>
      <c r="Z169" s="454"/>
      <c r="AA169" s="455" t="s">
        <v>333</v>
      </c>
      <c r="AB169" s="453">
        <v>0</v>
      </c>
      <c r="AC169" s="453" t="e">
        <f t="shared" ref="AC169" si="550">AB169+AB171+SUM(AC106:AC107)</f>
        <v>#REF!</v>
      </c>
      <c r="AD169" s="453" t="e">
        <f t="shared" ref="AD169" si="551">AC169+AC171+SUM(AD106:AD107)</f>
        <v>#REF!</v>
      </c>
      <c r="AE169" s="453" t="e">
        <f t="shared" ref="AE169" si="552">AD169+AD171+SUM(AE106:AE107)</f>
        <v>#REF!</v>
      </c>
      <c r="AF169" s="453" t="e">
        <f t="shared" ref="AF169" si="553">AE169+AE171+SUM(AF106:AF107)</f>
        <v>#REF!</v>
      </c>
      <c r="AH169" s="435">
        <f t="shared" si="434"/>
        <v>0</v>
      </c>
      <c r="AI169" s="435" t="e">
        <f t="shared" si="434"/>
        <v>#REF!</v>
      </c>
      <c r="AJ169" s="435" t="e">
        <f t="shared" si="434"/>
        <v>#REF!</v>
      </c>
      <c r="AK169" s="435" t="e">
        <f t="shared" si="434"/>
        <v>#REF!</v>
      </c>
      <c r="AL169" s="435" t="e">
        <f t="shared" si="434"/>
        <v>#REF!</v>
      </c>
      <c r="AM169" s="444"/>
    </row>
    <row r="170" spans="1:39" s="96" customFormat="1" ht="18.95" customHeight="1" outlineLevel="1">
      <c r="A170" s="39" t="s">
        <v>377</v>
      </c>
      <c r="B170" s="40" t="s">
        <v>378</v>
      </c>
      <c r="C170" s="51">
        <v>0</v>
      </c>
      <c r="D170" s="51">
        <v>0</v>
      </c>
      <c r="E170" s="51">
        <v>0</v>
      </c>
      <c r="F170" s="51">
        <v>0</v>
      </c>
      <c r="G170" s="51">
        <f t="shared" si="533"/>
        <v>0</v>
      </c>
      <c r="H170" s="51">
        <f t="shared" si="534"/>
        <v>0</v>
      </c>
      <c r="I170" s="51">
        <f t="shared" si="534"/>
        <v>0</v>
      </c>
      <c r="J170" s="51">
        <f t="shared" si="534"/>
        <v>0</v>
      </c>
      <c r="K170" s="51">
        <f t="shared" si="534"/>
        <v>0</v>
      </c>
      <c r="L170" s="333"/>
      <c r="M170" s="40" t="s">
        <v>378</v>
      </c>
      <c r="N170" s="51">
        <f>G170-U170-AB170</f>
        <v>0</v>
      </c>
      <c r="O170" s="41">
        <f t="shared" si="535"/>
        <v>0</v>
      </c>
      <c r="P170" s="41">
        <f t="shared" si="536"/>
        <v>0</v>
      </c>
      <c r="Q170" s="41">
        <f t="shared" si="537"/>
        <v>0</v>
      </c>
      <c r="R170" s="41">
        <f t="shared" si="538"/>
        <v>0</v>
      </c>
      <c r="S170" s="333"/>
      <c r="T170" s="40" t="s">
        <v>333</v>
      </c>
      <c r="U170" s="51">
        <v>0</v>
      </c>
      <c r="V170" s="41">
        <f t="shared" si="539"/>
        <v>0</v>
      </c>
      <c r="W170" s="41">
        <f t="shared" si="540"/>
        <v>0</v>
      </c>
      <c r="X170" s="41">
        <f t="shared" si="541"/>
        <v>0</v>
      </c>
      <c r="Y170" s="41">
        <f t="shared" si="542"/>
        <v>0</v>
      </c>
      <c r="Z170" s="333"/>
      <c r="AA170" s="40" t="s">
        <v>333</v>
      </c>
      <c r="AB170" s="51">
        <v>0</v>
      </c>
      <c r="AC170" s="51">
        <f t="shared" ref="AC170" si="554">AB170</f>
        <v>0</v>
      </c>
      <c r="AD170" s="51">
        <f t="shared" ref="AD170" si="555">AC170</f>
        <v>0</v>
      </c>
      <c r="AE170" s="51">
        <f t="shared" ref="AE170" si="556">AD170</f>
        <v>0</v>
      </c>
      <c r="AF170" s="51">
        <f t="shared" ref="AF170" si="557">AE170</f>
        <v>0</v>
      </c>
      <c r="AH170" s="435">
        <f t="shared" si="434"/>
        <v>0</v>
      </c>
      <c r="AI170" s="435">
        <f t="shared" si="434"/>
        <v>0</v>
      </c>
      <c r="AJ170" s="435">
        <f t="shared" si="434"/>
        <v>0</v>
      </c>
      <c r="AK170" s="435">
        <f t="shared" si="434"/>
        <v>0</v>
      </c>
      <c r="AL170" s="435">
        <f t="shared" si="434"/>
        <v>0</v>
      </c>
      <c r="AM170" s="444"/>
    </row>
    <row r="171" spans="1:39" customFormat="1" ht="20.100000000000001" customHeight="1" outlineLevel="1">
      <c r="A171" s="45">
        <v>43</v>
      </c>
      <c r="B171" s="40" t="s">
        <v>379</v>
      </c>
      <c r="C171" s="44">
        <f>C83</f>
        <v>2534285.5853333091</v>
      </c>
      <c r="D171" s="44">
        <f>D83</f>
        <v>2706274.6529022269</v>
      </c>
      <c r="E171" s="44">
        <f>E83</f>
        <v>2783128.7667911174</v>
      </c>
      <c r="F171" s="44">
        <f>F83</f>
        <v>2825572.4468198498</v>
      </c>
      <c r="G171" s="44">
        <f>G83</f>
        <v>1138236.6732079724</v>
      </c>
      <c r="H171" s="44">
        <f t="shared" ref="H171:K171" si="558">H83</f>
        <v>10158228.266890258</v>
      </c>
      <c r="I171" s="44">
        <f t="shared" si="558"/>
        <v>10158228.266890258</v>
      </c>
      <c r="J171" s="44">
        <f t="shared" si="558"/>
        <v>10158228.266890258</v>
      </c>
      <c r="K171" s="44">
        <f t="shared" si="558"/>
        <v>10158228.266890258</v>
      </c>
      <c r="L171" s="346"/>
      <c r="M171" s="40" t="s">
        <v>379</v>
      </c>
      <c r="N171" s="44" t="e">
        <f>N83</f>
        <v>#REF!</v>
      </c>
      <c r="O171" s="44" t="e">
        <f t="shared" ref="O171:R171" si="559">O83</f>
        <v>#REF!</v>
      </c>
      <c r="P171" s="44" t="e">
        <f t="shared" si="559"/>
        <v>#REF!</v>
      </c>
      <c r="Q171" s="44" t="e">
        <f t="shared" si="559"/>
        <v>#REF!</v>
      </c>
      <c r="R171" s="44" t="e">
        <f t="shared" si="559"/>
        <v>#REF!</v>
      </c>
      <c r="S171" s="346"/>
      <c r="T171" s="40" t="s">
        <v>379</v>
      </c>
      <c r="U171" s="44" t="e">
        <f>U83</f>
        <v>#REF!</v>
      </c>
      <c r="V171" s="44" t="e">
        <f t="shared" ref="V171:Y171" si="560">V83</f>
        <v>#REF!</v>
      </c>
      <c r="W171" s="44" t="e">
        <f t="shared" si="560"/>
        <v>#REF!</v>
      </c>
      <c r="X171" s="44" t="e">
        <f t="shared" si="560"/>
        <v>#REF!</v>
      </c>
      <c r="Y171" s="44" t="e">
        <f t="shared" si="560"/>
        <v>#REF!</v>
      </c>
      <c r="Z171" s="346"/>
      <c r="AA171" s="40" t="s">
        <v>379</v>
      </c>
      <c r="AB171" s="44" t="e">
        <f>AB83</f>
        <v>#REF!</v>
      </c>
      <c r="AC171" s="44" t="e">
        <f t="shared" ref="AC171:AF171" si="561">AC83</f>
        <v>#REF!</v>
      </c>
      <c r="AD171" s="44" t="e">
        <f t="shared" si="561"/>
        <v>#REF!</v>
      </c>
      <c r="AE171" s="44" t="e">
        <f t="shared" si="561"/>
        <v>#REF!</v>
      </c>
      <c r="AF171" s="44" t="e">
        <f t="shared" si="561"/>
        <v>#REF!</v>
      </c>
      <c r="AH171" s="435" t="e">
        <f t="shared" si="434"/>
        <v>#REF!</v>
      </c>
      <c r="AI171" s="435" t="e">
        <f t="shared" si="434"/>
        <v>#REF!</v>
      </c>
      <c r="AJ171" s="435" t="e">
        <f t="shared" si="434"/>
        <v>#REF!</v>
      </c>
      <c r="AK171" s="435" t="e">
        <f t="shared" si="434"/>
        <v>#REF!</v>
      </c>
      <c r="AL171" s="435" t="e">
        <f t="shared" si="434"/>
        <v>#REF!</v>
      </c>
      <c r="AM171" s="444"/>
    </row>
    <row r="172" spans="1:39" s="326" customFormat="1" ht="27.95" customHeight="1" thickBot="1">
      <c r="A172" s="323"/>
      <c r="B172" s="324" t="s">
        <v>380</v>
      </c>
      <c r="C172" s="325">
        <f>SUM(C167:C171)</f>
        <v>15414871.628666643</v>
      </c>
      <c r="D172" s="325">
        <f t="shared" ref="D172:F172" si="562">SUM(D167:D171)</f>
        <v>18121146.28156887</v>
      </c>
      <c r="E172" s="325">
        <f t="shared" si="562"/>
        <v>20904275.048359986</v>
      </c>
      <c r="F172" s="325">
        <f t="shared" si="562"/>
        <v>23729847.495179836</v>
      </c>
      <c r="G172" s="325">
        <f t="shared" ref="G172" si="563">SUM(G167:G171)</f>
        <v>24868084.168387808</v>
      </c>
      <c r="H172" s="325">
        <f t="shared" ref="H172:K172" si="564">SUM(H167:H171)</f>
        <v>35026312.435278066</v>
      </c>
      <c r="I172" s="325">
        <f t="shared" si="564"/>
        <v>45184540.702168323</v>
      </c>
      <c r="J172" s="325">
        <f t="shared" si="564"/>
        <v>55342768.969058581</v>
      </c>
      <c r="K172" s="325">
        <f t="shared" si="564"/>
        <v>65500997.235948838</v>
      </c>
      <c r="L172" s="345"/>
      <c r="M172" s="324" t="s">
        <v>380</v>
      </c>
      <c r="N172" s="325" t="e">
        <f t="shared" ref="N172" si="565">SUM(N167:N171)</f>
        <v>#REF!</v>
      </c>
      <c r="O172" s="325" t="e">
        <f t="shared" ref="O172:R172" si="566">SUM(O167:O171)</f>
        <v>#REF!</v>
      </c>
      <c r="P172" s="325" t="e">
        <f t="shared" si="566"/>
        <v>#REF!</v>
      </c>
      <c r="Q172" s="325" t="e">
        <f t="shared" si="566"/>
        <v>#REF!</v>
      </c>
      <c r="R172" s="325" t="e">
        <f t="shared" si="566"/>
        <v>#REF!</v>
      </c>
      <c r="S172" s="345"/>
      <c r="T172" s="324" t="s">
        <v>380</v>
      </c>
      <c r="U172" s="325" t="e">
        <f t="shared" ref="U172" si="567">SUM(U167:U171)</f>
        <v>#REF!</v>
      </c>
      <c r="V172" s="325" t="e">
        <f t="shared" ref="V172:Y172" si="568">SUM(V167:V171)</f>
        <v>#REF!</v>
      </c>
      <c r="W172" s="325" t="e">
        <f t="shared" si="568"/>
        <v>#REF!</v>
      </c>
      <c r="X172" s="325" t="e">
        <f t="shared" si="568"/>
        <v>#REF!</v>
      </c>
      <c r="Y172" s="325" t="e">
        <f t="shared" si="568"/>
        <v>#REF!</v>
      </c>
      <c r="Z172" s="345"/>
      <c r="AA172" s="324" t="s">
        <v>380</v>
      </c>
      <c r="AB172" s="325" t="e">
        <f t="shared" ref="AB172" si="569">SUM(AB167:AB171)</f>
        <v>#REF!</v>
      </c>
      <c r="AC172" s="325" t="e">
        <f t="shared" ref="AC172:AF172" si="570">SUM(AC167:AC171)</f>
        <v>#REF!</v>
      </c>
      <c r="AD172" s="325" t="e">
        <f t="shared" si="570"/>
        <v>#REF!</v>
      </c>
      <c r="AE172" s="325" t="e">
        <f t="shared" si="570"/>
        <v>#REF!</v>
      </c>
      <c r="AF172" s="325" t="e">
        <f t="shared" si="570"/>
        <v>#REF!</v>
      </c>
      <c r="AH172" s="435" t="e">
        <f t="shared" si="434"/>
        <v>#REF!</v>
      </c>
      <c r="AI172" s="435" t="e">
        <f t="shared" si="434"/>
        <v>#REF!</v>
      </c>
      <c r="AJ172" s="435" t="e">
        <f t="shared" si="434"/>
        <v>#REF!</v>
      </c>
      <c r="AK172" s="435" t="e">
        <f t="shared" si="434"/>
        <v>#REF!</v>
      </c>
      <c r="AL172" s="435" t="e">
        <f t="shared" si="434"/>
        <v>#REF!</v>
      </c>
      <c r="AM172" s="444"/>
    </row>
    <row r="173" spans="1:39" s="62" customFormat="1" ht="15.75" thickBot="1">
      <c r="B173" s="327" t="s">
        <v>381</v>
      </c>
      <c r="C173" s="328">
        <f>C166+C172</f>
        <v>16330455.06033331</v>
      </c>
      <c r="D173" s="328">
        <f t="shared" ref="D173:F173" si="571">D166+D172</f>
        <v>18836342.38656887</v>
      </c>
      <c r="E173" s="328">
        <f t="shared" si="571"/>
        <v>21892893.23169332</v>
      </c>
      <c r="F173" s="328">
        <f t="shared" si="571"/>
        <v>24959939.278112225</v>
      </c>
      <c r="G173" s="328">
        <f t="shared" ref="G173" si="572">G166+G172</f>
        <v>25115467.174138509</v>
      </c>
      <c r="H173" s="328">
        <f t="shared" ref="H173:K173" si="573">H166+H172</f>
        <v>37656953.797364622</v>
      </c>
      <c r="I173" s="328">
        <f t="shared" si="573"/>
        <v>47815182.06425488</v>
      </c>
      <c r="J173" s="328">
        <f t="shared" si="573"/>
        <v>57973410.331145138</v>
      </c>
      <c r="K173" s="328">
        <f t="shared" si="573"/>
        <v>68131638.598035395</v>
      </c>
      <c r="L173" s="342"/>
      <c r="M173" s="327" t="s">
        <v>381</v>
      </c>
      <c r="N173" s="328" t="e">
        <f t="shared" ref="N173:R173" si="574">N166+N172</f>
        <v>#REF!</v>
      </c>
      <c r="O173" s="328" t="e">
        <f t="shared" si="574"/>
        <v>#REF!</v>
      </c>
      <c r="P173" s="328" t="e">
        <f t="shared" si="574"/>
        <v>#REF!</v>
      </c>
      <c r="Q173" s="328" t="e">
        <f t="shared" si="574"/>
        <v>#REF!</v>
      </c>
      <c r="R173" s="328" t="e">
        <f t="shared" si="574"/>
        <v>#REF!</v>
      </c>
      <c r="S173" s="342"/>
      <c r="T173" s="327" t="s">
        <v>381</v>
      </c>
      <c r="U173" s="328" t="e">
        <f t="shared" ref="U173:Y173" si="575">U166+U172</f>
        <v>#REF!</v>
      </c>
      <c r="V173" s="328" t="e">
        <f t="shared" si="575"/>
        <v>#REF!</v>
      </c>
      <c r="W173" s="328" t="e">
        <f t="shared" si="575"/>
        <v>#REF!</v>
      </c>
      <c r="X173" s="328" t="e">
        <f t="shared" si="575"/>
        <v>#REF!</v>
      </c>
      <c r="Y173" s="328" t="e">
        <f t="shared" si="575"/>
        <v>#REF!</v>
      </c>
      <c r="Z173" s="342"/>
      <c r="AA173" s="327" t="s">
        <v>381</v>
      </c>
      <c r="AB173" s="328" t="e">
        <f t="shared" ref="AB173:AF173" si="576">AB166+AB172</f>
        <v>#REF!</v>
      </c>
      <c r="AC173" s="328" t="e">
        <f t="shared" si="576"/>
        <v>#REF!</v>
      </c>
      <c r="AD173" s="328" t="e">
        <f t="shared" si="576"/>
        <v>#REF!</v>
      </c>
      <c r="AE173" s="328" t="e">
        <f t="shared" si="576"/>
        <v>#REF!</v>
      </c>
      <c r="AF173" s="328" t="e">
        <f t="shared" si="576"/>
        <v>#REF!</v>
      </c>
      <c r="AH173" s="435" t="e">
        <f t="shared" si="434"/>
        <v>#REF!</v>
      </c>
      <c r="AI173" s="435" t="e">
        <f t="shared" si="434"/>
        <v>#REF!</v>
      </c>
      <c r="AJ173" s="435" t="e">
        <f t="shared" si="434"/>
        <v>#REF!</v>
      </c>
      <c r="AK173" s="435" t="e">
        <f t="shared" si="434"/>
        <v>#REF!</v>
      </c>
      <c r="AL173" s="435" t="e">
        <f t="shared" si="434"/>
        <v>#REF!</v>
      </c>
      <c r="AM173" s="444"/>
    </row>
    <row r="174" spans="1:39" s="62" customFormat="1">
      <c r="B174" s="327"/>
      <c r="C174" s="329"/>
      <c r="D174" s="329"/>
      <c r="E174" s="329"/>
      <c r="F174" s="329"/>
      <c r="H174" s="329"/>
      <c r="I174" s="329"/>
      <c r="J174" s="329"/>
      <c r="K174" s="329"/>
      <c r="L174" s="342"/>
      <c r="M174" s="327"/>
      <c r="N174" s="329"/>
      <c r="O174" s="329"/>
      <c r="P174" s="329"/>
      <c r="Q174" s="329"/>
      <c r="R174" s="329"/>
      <c r="S174" s="342"/>
      <c r="T174" s="327"/>
      <c r="U174" s="329"/>
      <c r="V174" s="329"/>
      <c r="W174" s="329"/>
      <c r="X174" s="329"/>
      <c r="Y174" s="329"/>
      <c r="Z174" s="342"/>
      <c r="AA174" s="327"/>
      <c r="AB174" s="329"/>
      <c r="AC174" s="329"/>
      <c r="AD174" s="329"/>
      <c r="AE174" s="329"/>
      <c r="AF174" s="329"/>
      <c r="AH174" s="435"/>
      <c r="AI174" s="435"/>
      <c r="AJ174" s="435"/>
      <c r="AK174" s="435"/>
      <c r="AL174" s="435"/>
      <c r="AM174" s="444"/>
    </row>
    <row r="175" spans="1:39" s="122" customFormat="1">
      <c r="B175" s="122" t="s">
        <v>579</v>
      </c>
      <c r="C175" s="122">
        <v>18</v>
      </c>
      <c r="D175" s="122">
        <v>20</v>
      </c>
      <c r="E175" s="122">
        <v>22</v>
      </c>
      <c r="F175" s="122">
        <v>23</v>
      </c>
      <c r="G175" s="329">
        <f>COUNT(osobni!G6:G29)</f>
        <v>24</v>
      </c>
      <c r="H175" s="329">
        <v>25</v>
      </c>
      <c r="I175" s="329">
        <v>26</v>
      </c>
      <c r="J175" s="329">
        <v>27</v>
      </c>
      <c r="K175" s="329">
        <v>28</v>
      </c>
      <c r="L175" s="335"/>
      <c r="S175" s="335"/>
      <c r="Z175" s="335"/>
      <c r="AH175" s="472"/>
      <c r="AI175" s="472"/>
      <c r="AJ175" s="472"/>
      <c r="AK175" s="472"/>
      <c r="AL175" s="472"/>
      <c r="AM175" s="473"/>
    </row>
    <row r="176" spans="1:39">
      <c r="G176" s="107"/>
      <c r="N176" s="107"/>
      <c r="U176" s="107"/>
      <c r="AB176" s="107"/>
    </row>
    <row r="177" spans="2:39" s="79" customFormat="1">
      <c r="B177" s="79" t="s">
        <v>572</v>
      </c>
      <c r="C177" s="475">
        <f>C132/C154</f>
        <v>9.4742606127663415E-2</v>
      </c>
      <c r="D177" s="475">
        <f t="shared" ref="D177:K177" si="577">D132/D154</f>
        <v>8.5149741852766705E-2</v>
      </c>
      <c r="E177" s="475">
        <f t="shared" si="577"/>
        <v>8.1315138257873246E-2</v>
      </c>
      <c r="F177" s="475">
        <f t="shared" si="577"/>
        <v>7.4068294774306195E-2</v>
      </c>
      <c r="G177" s="475">
        <f t="shared" si="577"/>
        <v>0.24090790517624455</v>
      </c>
      <c r="H177" s="475">
        <f t="shared" si="577"/>
        <v>0.14213281981569795</v>
      </c>
      <c r="I177" s="475">
        <f t="shared" si="577"/>
        <v>9.7334429618591026E-2</v>
      </c>
      <c r="J177" s="475">
        <f t="shared" si="577"/>
        <v>6.8235384035232036E-2</v>
      </c>
      <c r="K177" s="475">
        <f t="shared" si="577"/>
        <v>4.7813503817830609E-2</v>
      </c>
      <c r="L177" s="340"/>
      <c r="N177" s="476"/>
      <c r="S177" s="340"/>
      <c r="U177" s="476"/>
      <c r="Z177" s="340"/>
      <c r="AB177" s="476"/>
      <c r="AH177" s="477"/>
      <c r="AI177" s="477"/>
      <c r="AJ177" s="477"/>
      <c r="AK177" s="477"/>
      <c r="AL177" s="477"/>
      <c r="AM177" s="478"/>
    </row>
    <row r="178" spans="2:39" s="79" customFormat="1">
      <c r="B178" s="79" t="s">
        <v>573</v>
      </c>
      <c r="C178" s="475">
        <f>C138/C154</f>
        <v>0.24058299056128574</v>
      </c>
      <c r="D178" s="475">
        <f t="shared" ref="D178:K178" si="578">D138/D154</f>
        <v>0.26264500392233237</v>
      </c>
      <c r="E178" s="475">
        <f t="shared" si="578"/>
        <v>0.26468893706692864</v>
      </c>
      <c r="F178" s="475">
        <f t="shared" si="578"/>
        <v>0.33309558030952618</v>
      </c>
      <c r="G178" s="475">
        <f t="shared" si="578"/>
        <v>0.33103288108032214</v>
      </c>
      <c r="H178" s="475">
        <f t="shared" si="578"/>
        <v>0.22078380272265086</v>
      </c>
      <c r="I178" s="475">
        <f t="shared" si="578"/>
        <v>0.17387877865153306</v>
      </c>
      <c r="J178" s="475">
        <f t="shared" si="578"/>
        <v>0.14341135722123907</v>
      </c>
      <c r="K178" s="475">
        <f t="shared" si="578"/>
        <v>0.12202914283897857</v>
      </c>
      <c r="L178" s="340"/>
      <c r="N178" s="476"/>
      <c r="S178" s="340"/>
      <c r="U178" s="476"/>
      <c r="Z178" s="340"/>
      <c r="AB178" s="476"/>
      <c r="AH178" s="477"/>
      <c r="AI178" s="477"/>
      <c r="AJ178" s="477"/>
      <c r="AK178" s="477"/>
      <c r="AL178" s="477"/>
      <c r="AM178" s="478"/>
    </row>
    <row r="179" spans="2:39" s="79" customFormat="1">
      <c r="B179" s="79" t="s">
        <v>574</v>
      </c>
      <c r="C179" s="475">
        <f>C142/C154</f>
        <v>0.1695276831619292</v>
      </c>
      <c r="D179" s="475">
        <f t="shared" ref="D179:K179" si="579">D142/D154</f>
        <v>0.15770819385212989</v>
      </c>
      <c r="E179" s="475">
        <f t="shared" si="579"/>
        <v>0.14069174184879632</v>
      </c>
      <c r="F179" s="475">
        <f t="shared" si="579"/>
        <v>8.6231609144964985E-2</v>
      </c>
      <c r="G179" s="475">
        <f t="shared" si="579"/>
        <v>8.569761865025155E-2</v>
      </c>
      <c r="H179" s="475">
        <f t="shared" si="579"/>
        <v>5.7156395063024508E-2</v>
      </c>
      <c r="I179" s="475">
        <f t="shared" si="579"/>
        <v>4.5013647029930499E-2</v>
      </c>
      <c r="J179" s="475">
        <f t="shared" si="579"/>
        <v>3.7126256948108685E-2</v>
      </c>
      <c r="K179" s="475">
        <f t="shared" si="579"/>
        <v>3.159084050231982E-2</v>
      </c>
      <c r="L179" s="340"/>
      <c r="N179" s="476"/>
      <c r="S179" s="340"/>
      <c r="U179" s="476"/>
      <c r="Z179" s="340"/>
      <c r="AB179" s="476"/>
      <c r="AH179" s="477"/>
      <c r="AI179" s="477"/>
      <c r="AJ179" s="477"/>
      <c r="AK179" s="477"/>
      <c r="AL179" s="477"/>
      <c r="AM179" s="478"/>
    </row>
    <row r="180" spans="2:39" s="79" customFormat="1">
      <c r="B180" s="79" t="s">
        <v>575</v>
      </c>
      <c r="C180" s="475">
        <f>C141/C154</f>
        <v>0.49050012132177806</v>
      </c>
      <c r="D180" s="475">
        <f t="shared" ref="D180:K180" si="580">D141/D154</f>
        <v>0.48611125665576971</v>
      </c>
      <c r="E180" s="475">
        <f t="shared" si="580"/>
        <v>0.52330552904787897</v>
      </c>
      <c r="F180" s="475">
        <f t="shared" si="580"/>
        <v>0.47556151436937388</v>
      </c>
      <c r="G180" s="475">
        <f t="shared" si="580"/>
        <v>0.37263651750366167</v>
      </c>
      <c r="H180" s="475">
        <f t="shared" si="580"/>
        <v>0.60011897201338982</v>
      </c>
      <c r="I180" s="475">
        <f t="shared" si="580"/>
        <v>0.69967539137503287</v>
      </c>
      <c r="J180" s="475">
        <f t="shared" si="580"/>
        <v>0.76434282188702352</v>
      </c>
      <c r="K180" s="475">
        <f t="shared" si="580"/>
        <v>0.80972680247497242</v>
      </c>
      <c r="L180" s="340"/>
      <c r="N180" s="476"/>
      <c r="S180" s="340"/>
      <c r="U180" s="476"/>
      <c r="Z180" s="340"/>
      <c r="AB180" s="476"/>
      <c r="AH180" s="477"/>
      <c r="AI180" s="477"/>
      <c r="AJ180" s="477"/>
      <c r="AK180" s="477"/>
      <c r="AL180" s="477"/>
      <c r="AM180" s="478"/>
    </row>
    <row r="181" spans="2:39" s="79" customFormat="1">
      <c r="B181" s="79" t="s">
        <v>576</v>
      </c>
      <c r="C181" s="475">
        <f>C164/C173</f>
        <v>5.6066008466023678E-2</v>
      </c>
      <c r="D181" s="475">
        <f t="shared" ref="D181:K181" si="581">D164/D173</f>
        <v>3.7968948021987907E-2</v>
      </c>
      <c r="E181" s="475">
        <f t="shared" si="581"/>
        <v>4.4672556811762396E-2</v>
      </c>
      <c r="F181" s="475">
        <f t="shared" si="581"/>
        <v>4.8484631156946692E-2</v>
      </c>
      <c r="G181" s="475">
        <f t="shared" si="581"/>
        <v>9.0567565731601886E-3</v>
      </c>
      <c r="H181" s="475">
        <f t="shared" si="581"/>
        <v>6.9329108318260446E-2</v>
      </c>
      <c r="I181" s="475">
        <f t="shared" si="581"/>
        <v>5.4600294635391865E-2</v>
      </c>
      <c r="J181" s="475">
        <f t="shared" si="581"/>
        <v>4.5033111108018747E-2</v>
      </c>
      <c r="K181" s="475">
        <f t="shared" si="581"/>
        <v>3.8318805807035179E-2</v>
      </c>
      <c r="L181" s="340"/>
      <c r="N181" s="476"/>
      <c r="S181" s="340"/>
      <c r="U181" s="476"/>
      <c r="Z181" s="340"/>
      <c r="AB181" s="476"/>
      <c r="AH181" s="477"/>
      <c r="AI181" s="477"/>
      <c r="AJ181" s="477"/>
      <c r="AK181" s="477"/>
      <c r="AL181" s="477"/>
      <c r="AM181" s="478"/>
    </row>
    <row r="182" spans="2:39" s="79" customFormat="1">
      <c r="B182" s="79" t="s">
        <v>577</v>
      </c>
      <c r="C182" s="475">
        <f>C165/C173</f>
        <v>0</v>
      </c>
      <c r="D182" s="475">
        <f t="shared" ref="D182:K182" si="582">D165/D173</f>
        <v>0</v>
      </c>
      <c r="E182" s="475">
        <f t="shared" si="582"/>
        <v>4.8447989739939395E-4</v>
      </c>
      <c r="F182" s="475">
        <f t="shared" si="582"/>
        <v>7.9801209095087993E-4</v>
      </c>
      <c r="G182" s="475">
        <f t="shared" si="582"/>
        <v>7.9307038946276563E-4</v>
      </c>
      <c r="H182" s="475">
        <f t="shared" si="582"/>
        <v>5.2894170464545896E-4</v>
      </c>
      <c r="I182" s="475">
        <f t="shared" si="582"/>
        <v>4.1656922494965568E-4</v>
      </c>
      <c r="J182" s="475">
        <f t="shared" si="582"/>
        <v>3.4357705057472835E-4</v>
      </c>
      <c r="K182" s="475">
        <f t="shared" si="582"/>
        <v>2.9235071610192692E-4</v>
      </c>
      <c r="L182" s="340"/>
      <c r="N182" s="476"/>
      <c r="S182" s="340"/>
      <c r="U182" s="476"/>
      <c r="Z182" s="340"/>
      <c r="AB182" s="476"/>
      <c r="AH182" s="477"/>
      <c r="AI182" s="477"/>
      <c r="AJ182" s="477"/>
      <c r="AK182" s="477"/>
      <c r="AL182" s="477"/>
      <c r="AM182" s="478"/>
    </row>
    <row r="183" spans="2:39" s="79" customFormat="1">
      <c r="B183" s="79" t="s">
        <v>578</v>
      </c>
      <c r="C183" s="475">
        <f>C172/C173</f>
        <v>0.94393399153397628</v>
      </c>
      <c r="D183" s="475">
        <f t="shared" ref="D183:K183" si="583">D172/D173</f>
        <v>0.96203105197801209</v>
      </c>
      <c r="E183" s="475">
        <f t="shared" si="583"/>
        <v>0.95484296329083829</v>
      </c>
      <c r="F183" s="475">
        <f t="shared" si="583"/>
        <v>0.95071735675210245</v>
      </c>
      <c r="G183" s="475">
        <f t="shared" si="583"/>
        <v>0.99015017303737707</v>
      </c>
      <c r="H183" s="475">
        <f t="shared" si="583"/>
        <v>0.93014194997709398</v>
      </c>
      <c r="I183" s="475">
        <f t="shared" si="583"/>
        <v>0.94498313613965845</v>
      </c>
      <c r="J183" s="475">
        <f t="shared" si="583"/>
        <v>0.95462331184140647</v>
      </c>
      <c r="K183" s="475">
        <f t="shared" si="583"/>
        <v>0.96138884347686282</v>
      </c>
      <c r="L183" s="340"/>
      <c r="N183" s="476"/>
      <c r="S183" s="340"/>
      <c r="U183" s="476"/>
      <c r="Z183" s="340"/>
      <c r="AB183" s="476"/>
      <c r="AH183" s="477"/>
      <c r="AI183" s="477"/>
      <c r="AJ183" s="477"/>
      <c r="AK183" s="477"/>
      <c r="AL183" s="477"/>
      <c r="AM183" s="478"/>
    </row>
    <row r="184" spans="2:39" s="79" customFormat="1">
      <c r="G184" s="476"/>
      <c r="L184" s="340"/>
      <c r="N184" s="476"/>
      <c r="S184" s="340"/>
      <c r="U184" s="476"/>
      <c r="Z184" s="340"/>
      <c r="AB184" s="476"/>
      <c r="AH184" s="477"/>
      <c r="AI184" s="477"/>
      <c r="AJ184" s="477"/>
      <c r="AK184" s="477"/>
      <c r="AL184" s="477"/>
      <c r="AM184" s="478"/>
    </row>
    <row r="185" spans="2:39" s="79" customFormat="1">
      <c r="B185" s="79" t="s">
        <v>580</v>
      </c>
      <c r="C185" s="476">
        <f>C15+C22+C65</f>
        <v>10003197.657499965</v>
      </c>
      <c r="D185" s="476">
        <f t="shared" ref="D185:K185" si="584">D15+D22+D65</f>
        <v>11187043.683316661</v>
      </c>
      <c r="E185" s="476">
        <f t="shared" si="584"/>
        <v>12672954.160399994</v>
      </c>
      <c r="F185" s="476">
        <f t="shared" si="584"/>
        <v>13844332.815322842</v>
      </c>
      <c r="G185" s="476">
        <f t="shared" si="584"/>
        <v>14381303.799999999</v>
      </c>
      <c r="H185" s="476">
        <f t="shared" si="584"/>
        <v>3969758</v>
      </c>
      <c r="I185" s="476">
        <f t="shared" si="584"/>
        <v>3969758</v>
      </c>
      <c r="J185" s="476">
        <f t="shared" si="584"/>
        <v>3969758</v>
      </c>
      <c r="K185" s="476">
        <f t="shared" si="584"/>
        <v>3969758</v>
      </c>
      <c r="L185" s="340"/>
      <c r="N185" s="476"/>
      <c r="S185" s="340"/>
      <c r="U185" s="476"/>
      <c r="Z185" s="340"/>
      <c r="AB185" s="476"/>
      <c r="AH185" s="477"/>
      <c r="AI185" s="477"/>
      <c r="AJ185" s="477"/>
      <c r="AK185" s="477"/>
      <c r="AL185" s="477"/>
      <c r="AM185" s="478"/>
    </row>
    <row r="186" spans="2:39" s="79" customFormat="1">
      <c r="B186" s="79" t="s">
        <v>582</v>
      </c>
      <c r="C186" s="475">
        <f>C185/C13</f>
        <v>0.54277077702779586</v>
      </c>
      <c r="D186" s="475">
        <f t="shared" ref="D186:K186" si="585">D185/D13</f>
        <v>0.54893508864177953</v>
      </c>
      <c r="E186" s="475">
        <f t="shared" si="585"/>
        <v>0.5682047254091257</v>
      </c>
      <c r="F186" s="475">
        <f t="shared" si="585"/>
        <v>0.56740484446445427</v>
      </c>
      <c r="G186" s="475">
        <f t="shared" si="585"/>
        <v>0.56832023911050156</v>
      </c>
      <c r="H186" s="475">
        <f t="shared" si="585"/>
        <v>0.15687686228913589</v>
      </c>
      <c r="I186" s="475">
        <f t="shared" si="585"/>
        <v>0.15687686228913589</v>
      </c>
      <c r="J186" s="475">
        <f t="shared" si="585"/>
        <v>0.15687686228913589</v>
      </c>
      <c r="K186" s="475">
        <f t="shared" si="585"/>
        <v>0.15687686228913589</v>
      </c>
      <c r="L186" s="340"/>
      <c r="N186" s="476"/>
      <c r="S186" s="340"/>
      <c r="U186" s="476"/>
      <c r="Z186" s="340"/>
      <c r="AB186" s="476"/>
      <c r="AH186" s="477"/>
      <c r="AI186" s="477"/>
      <c r="AJ186" s="477"/>
      <c r="AK186" s="477"/>
      <c r="AL186" s="477"/>
      <c r="AM186" s="478"/>
    </row>
    <row r="187" spans="2:39" s="79" customFormat="1">
      <c r="B187" s="79" t="s">
        <v>581</v>
      </c>
      <c r="C187" s="476">
        <f>C185/12</f>
        <v>833599.80479166377</v>
      </c>
      <c r="D187" s="476"/>
      <c r="E187" s="476"/>
      <c r="F187" s="476"/>
      <c r="G187" s="476"/>
      <c r="H187" s="476"/>
      <c r="I187" s="476"/>
      <c r="J187" s="476"/>
      <c r="K187" s="476"/>
      <c r="L187" s="340"/>
      <c r="N187" s="476"/>
      <c r="S187" s="340"/>
      <c r="U187" s="476"/>
      <c r="Z187" s="340"/>
      <c r="AB187" s="476"/>
      <c r="AH187" s="477"/>
      <c r="AI187" s="477"/>
      <c r="AJ187" s="477"/>
      <c r="AK187" s="477"/>
      <c r="AL187" s="477"/>
      <c r="AM187" s="478"/>
    </row>
    <row r="188" spans="2:39" s="79" customFormat="1">
      <c r="G188" s="476"/>
      <c r="L188" s="340"/>
      <c r="N188" s="476"/>
      <c r="S188" s="340"/>
      <c r="U188" s="476"/>
      <c r="Z188" s="340"/>
      <c r="AB188" s="476"/>
      <c r="AH188" s="477"/>
      <c r="AI188" s="477"/>
      <c r="AJ188" s="477"/>
      <c r="AK188" s="477"/>
      <c r="AL188" s="477"/>
      <c r="AM188" s="478"/>
    </row>
    <row r="189" spans="2:39" s="79" customFormat="1">
      <c r="B189" s="79" t="s">
        <v>464</v>
      </c>
      <c r="C189" s="479">
        <f>C153/C164</f>
        <v>16.146278621224265</v>
      </c>
      <c r="D189" s="479"/>
      <c r="E189" s="479"/>
      <c r="F189" s="479"/>
      <c r="G189" s="479"/>
      <c r="H189" s="479"/>
      <c r="I189" s="479"/>
      <c r="J189" s="479"/>
      <c r="K189" s="479"/>
      <c r="L189" s="340"/>
      <c r="N189" s="476"/>
      <c r="S189" s="340"/>
      <c r="U189" s="476"/>
      <c r="Z189" s="340"/>
      <c r="AB189" s="476"/>
      <c r="AH189" s="477"/>
      <c r="AI189" s="477"/>
      <c r="AJ189" s="477"/>
      <c r="AK189" s="477"/>
      <c r="AL189" s="477"/>
      <c r="AM189" s="478"/>
    </row>
    <row r="190" spans="2:39" s="79" customFormat="1">
      <c r="B190" s="79" t="s">
        <v>465</v>
      </c>
      <c r="C190" s="480"/>
      <c r="D190" s="480"/>
      <c r="E190" s="480"/>
      <c r="F190" s="480"/>
      <c r="G190" s="480"/>
      <c r="H190" s="480"/>
      <c r="I190" s="480"/>
      <c r="J190" s="480"/>
      <c r="K190" s="480"/>
      <c r="L190" s="340"/>
      <c r="S190" s="340"/>
      <c r="Z190" s="340"/>
      <c r="AH190" s="477"/>
      <c r="AI190" s="477"/>
      <c r="AJ190" s="477"/>
      <c r="AK190" s="477"/>
      <c r="AL190" s="477"/>
      <c r="AM190" s="478"/>
    </row>
    <row r="191" spans="2:39" s="79" customFormat="1">
      <c r="B191" s="79" t="s">
        <v>466</v>
      </c>
      <c r="C191" s="479"/>
      <c r="D191" s="479"/>
      <c r="E191" s="479"/>
      <c r="F191" s="479"/>
      <c r="G191" s="479"/>
      <c r="H191" s="479"/>
      <c r="I191" s="479"/>
      <c r="J191" s="479"/>
      <c r="K191" s="479"/>
      <c r="L191" s="340"/>
      <c r="S191" s="340"/>
      <c r="Z191" s="340"/>
      <c r="AH191" s="477"/>
      <c r="AI191" s="477"/>
      <c r="AJ191" s="477"/>
      <c r="AK191" s="477"/>
      <c r="AL191" s="477"/>
      <c r="AM191" s="478"/>
    </row>
    <row r="192" spans="2:39" s="79" customFormat="1">
      <c r="B192" s="79" t="s">
        <v>467</v>
      </c>
      <c r="C192" s="479">
        <f>C142/C13*365</f>
        <v>54.828881299449478</v>
      </c>
      <c r="D192" s="479">
        <f t="shared" ref="D192:K192" si="586">D142/D13*365</f>
        <v>53.204621367491356</v>
      </c>
      <c r="E192" s="479">
        <f t="shared" si="586"/>
        <v>50.40708777927864</v>
      </c>
      <c r="F192" s="479">
        <f t="shared" si="586"/>
        <v>32.197628690202841</v>
      </c>
      <c r="G192" s="479">
        <f t="shared" si="586"/>
        <v>31.045434407072968</v>
      </c>
      <c r="H192" s="479">
        <f t="shared" si="586"/>
        <v>31.045434407072968</v>
      </c>
      <c r="I192" s="479">
        <f t="shared" si="586"/>
        <v>31.045434407072968</v>
      </c>
      <c r="J192" s="479">
        <f t="shared" si="586"/>
        <v>31.045434407072968</v>
      </c>
      <c r="K192" s="479">
        <f t="shared" si="586"/>
        <v>31.045434407072968</v>
      </c>
      <c r="L192" s="340"/>
      <c r="S192" s="340"/>
      <c r="Z192" s="340"/>
      <c r="AH192" s="477"/>
      <c r="AI192" s="477"/>
      <c r="AJ192" s="477"/>
      <c r="AK192" s="477"/>
      <c r="AL192" s="477"/>
      <c r="AM192" s="478"/>
    </row>
    <row r="193" spans="2:39" s="79" customFormat="1">
      <c r="B193" s="79" t="s">
        <v>126</v>
      </c>
      <c r="C193" s="480"/>
      <c r="D193" s="480"/>
      <c r="E193" s="480"/>
      <c r="F193" s="480"/>
      <c r="G193" s="480"/>
      <c r="H193" s="480"/>
      <c r="I193" s="480"/>
      <c r="J193" s="480"/>
      <c r="K193" s="480"/>
      <c r="L193" s="340"/>
      <c r="S193" s="340"/>
      <c r="Z193" s="340"/>
      <c r="AH193" s="477"/>
      <c r="AI193" s="477"/>
      <c r="AJ193" s="477"/>
      <c r="AK193" s="477"/>
      <c r="AL193" s="477"/>
      <c r="AM193" s="478"/>
    </row>
    <row r="194" spans="2:39" s="79" customFormat="1">
      <c r="B194" s="79" t="s">
        <v>525</v>
      </c>
      <c r="C194" s="480"/>
      <c r="D194" s="480"/>
      <c r="E194" s="480"/>
      <c r="F194" s="480"/>
      <c r="G194" s="480"/>
      <c r="H194" s="480"/>
      <c r="I194" s="480"/>
      <c r="J194" s="480"/>
      <c r="K194" s="480"/>
      <c r="L194" s="340"/>
      <c r="S194" s="340"/>
      <c r="Z194" s="340"/>
      <c r="AH194" s="477"/>
      <c r="AI194" s="477"/>
      <c r="AJ194" s="477"/>
      <c r="AK194" s="477"/>
      <c r="AL194" s="477"/>
      <c r="AM194" s="478"/>
    </row>
    <row r="195" spans="2:39" s="79" customFormat="1">
      <c r="B195" s="79" t="s">
        <v>526</v>
      </c>
      <c r="C195" s="481"/>
      <c r="D195" s="481"/>
      <c r="E195" s="481"/>
      <c r="F195" s="481"/>
      <c r="G195" s="481"/>
      <c r="H195" s="481"/>
      <c r="I195" s="481"/>
      <c r="J195" s="481"/>
      <c r="K195" s="481"/>
      <c r="L195" s="340"/>
      <c r="S195" s="340"/>
      <c r="Z195" s="340"/>
      <c r="AH195" s="477"/>
      <c r="AI195" s="477"/>
      <c r="AJ195" s="477"/>
      <c r="AK195" s="477"/>
      <c r="AL195" s="477"/>
      <c r="AM195" s="478"/>
    </row>
    <row r="196" spans="2:39" s="79" customFormat="1">
      <c r="B196" s="79" t="s">
        <v>527</v>
      </c>
      <c r="C196" s="481"/>
      <c r="D196" s="481"/>
      <c r="E196" s="481"/>
      <c r="F196" s="481"/>
      <c r="G196" s="481"/>
      <c r="H196" s="481"/>
      <c r="I196" s="481"/>
      <c r="J196" s="481"/>
      <c r="K196" s="481"/>
      <c r="L196" s="340"/>
      <c r="S196" s="340"/>
      <c r="Z196" s="340"/>
      <c r="AH196" s="477"/>
      <c r="AI196" s="477"/>
      <c r="AJ196" s="477"/>
      <c r="AK196" s="477"/>
      <c r="AL196" s="477"/>
      <c r="AM196" s="47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Q79"/>
  <sheetViews>
    <sheetView showGridLines="0" workbookViewId="0">
      <pane xSplit="2" ySplit="4" topLeftCell="C8" activePane="bottomRight" state="frozen"/>
      <selection activeCell="BM36" sqref="BM36"/>
      <selection pane="topRight" activeCell="BM36" sqref="BM36"/>
      <selection pane="bottomLeft" activeCell="BM36" sqref="BM36"/>
      <selection pane="bottomRight" activeCell="A19" sqref="A19:XFD19"/>
    </sheetView>
  </sheetViews>
  <sheetFormatPr defaultColWidth="10.85546875" defaultRowHeight="15" outlineLevelRow="1" outlineLevelCol="1"/>
  <cols>
    <col min="1" max="1" width="8.140625" style="45" hidden="1" customWidth="1" outlineLevel="1"/>
    <col min="2" max="2" width="36.7109375" style="45" bestFit="1" customWidth="1" collapsed="1"/>
    <col min="3" max="4" width="16.140625" style="45" bestFit="1" customWidth="1" outlineLevel="1"/>
    <col min="5" max="5" width="17.42578125" style="45" customWidth="1" outlineLevel="1"/>
    <col min="6" max="6" width="1.42578125" customWidth="1"/>
    <col min="7" max="7" width="16" style="45" hidden="1" customWidth="1" outlineLevel="1" collapsed="1"/>
    <col min="8" max="11" width="15.140625" style="45" hidden="1" customWidth="1" outlineLevel="1"/>
    <col min="12" max="12" width="16" style="45" hidden="1" customWidth="1" outlineLevel="1"/>
    <col min="13" max="16" width="15.140625" style="45" hidden="1" customWidth="1" outlineLevel="1"/>
    <col min="17" max="17" width="16.28515625" style="45" hidden="1" customWidth="1" outlineLevel="1"/>
    <col min="18" max="18" width="16.7109375" style="45" hidden="1" customWidth="1" outlineLevel="1" collapsed="1"/>
    <col min="19" max="19" width="17.85546875" style="45" customWidth="1" collapsed="1"/>
    <col min="20" max="20" width="1.42578125" style="45" customWidth="1"/>
    <col min="21" max="21" width="17.42578125" style="45" customWidth="1" outlineLevel="1"/>
    <col min="22" max="22" width="15.7109375" style="45" customWidth="1" outlineLevel="1"/>
    <col min="23" max="25" width="14.5703125" style="45" bestFit="1" customWidth="1" outlineLevel="1"/>
    <col min="26" max="26" width="15.140625" style="45" customWidth="1" outlineLevel="1"/>
    <col min="27" max="31" width="14.5703125" style="45" bestFit="1" customWidth="1" outlineLevel="1"/>
    <col min="32" max="32" width="13.7109375" style="45" customWidth="1" outlineLevel="1"/>
    <col min="33" max="33" width="17.42578125" style="45" customWidth="1"/>
    <col min="34" max="16384" width="10.85546875" style="45"/>
  </cols>
  <sheetData>
    <row r="1" spans="1:37" s="88" customFormat="1">
      <c r="A1" s="36"/>
      <c r="B1" s="37" t="s">
        <v>77</v>
      </c>
      <c r="G1" s="312">
        <v>68</v>
      </c>
      <c r="H1" s="312">
        <v>69</v>
      </c>
      <c r="I1" s="312">
        <v>70</v>
      </c>
      <c r="J1" s="312">
        <v>71</v>
      </c>
      <c r="K1" s="312">
        <v>72</v>
      </c>
      <c r="L1" s="312">
        <v>73</v>
      </c>
      <c r="M1" s="312">
        <v>74</v>
      </c>
      <c r="N1" s="312">
        <v>75</v>
      </c>
      <c r="O1" s="312">
        <v>76</v>
      </c>
      <c r="P1" s="312">
        <v>77</v>
      </c>
      <c r="Q1" s="312">
        <v>78</v>
      </c>
      <c r="R1" s="312">
        <v>79</v>
      </c>
    </row>
    <row r="2" spans="1:37" s="90" customFormat="1">
      <c r="A2" s="36"/>
      <c r="B2" s="37">
        <v>6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114">
        <v>43009</v>
      </c>
      <c r="Q2" s="114">
        <v>43040</v>
      </c>
      <c r="R2" s="114">
        <v>43070</v>
      </c>
      <c r="S2" s="210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7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115" t="s">
        <v>130</v>
      </c>
      <c r="Q3" s="115" t="s">
        <v>130</v>
      </c>
      <c r="R3" s="115" t="s">
        <v>130</v>
      </c>
      <c r="S3" s="115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7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396" t="s">
        <v>79</v>
      </c>
      <c r="Q4" s="396" t="s">
        <v>79</v>
      </c>
      <c r="R4" s="116" t="s">
        <v>131</v>
      </c>
      <c r="S4" s="116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7" s="96" customFormat="1" outlineLevel="1">
      <c r="A5" s="39">
        <v>1100</v>
      </c>
      <c r="B5" s="40" t="s">
        <v>80</v>
      </c>
      <c r="C5" s="41">
        <v>4049850.081666667</v>
      </c>
      <c r="D5" s="41">
        <v>4459749.0949999997</v>
      </c>
      <c r="E5" s="41">
        <v>5298021.6833333327</v>
      </c>
      <c r="G5" s="41">
        <f>Výrobky!G5</f>
        <v>93334.693333333344</v>
      </c>
      <c r="H5" s="41">
        <f>Výrobky!H5</f>
        <v>209089.29333333336</v>
      </c>
      <c r="I5" s="41">
        <f>Výrobky!I5</f>
        <v>452888.69833333342</v>
      </c>
      <c r="J5" s="41">
        <f>Výrobky!J5</f>
        <v>1110330.5866666664</v>
      </c>
      <c r="K5" s="41">
        <f>Výrobky!K5</f>
        <v>444746.04666666687</v>
      </c>
      <c r="L5" s="41">
        <f>Výrobky!L5</f>
        <v>582478.37666666694</v>
      </c>
      <c r="M5" s="41">
        <f>Výrobky!M5</f>
        <v>326115.34833333269</v>
      </c>
      <c r="N5" s="41">
        <f>Výrobky!N5</f>
        <v>614413.97500000021</v>
      </c>
      <c r="O5" s="41">
        <f>Výrobky!O5</f>
        <v>302903.12833333388</v>
      </c>
      <c r="P5" s="41">
        <f>Výrobky!P5</f>
        <v>427273.48666666698</v>
      </c>
      <c r="Q5" s="41">
        <f>Výrobky!Q5</f>
        <v>270546.43333333358</v>
      </c>
      <c r="R5" s="41">
        <f>Výrobky!R5</f>
        <v>232304.56500000009</v>
      </c>
      <c r="S5" s="41">
        <f t="shared" ref="S5:S27" si="0">SUM(G5:R5)</f>
        <v>5066424.6316666678</v>
      </c>
      <c r="U5" s="41">
        <f>Výrobky!U5</f>
        <v>0</v>
      </c>
      <c r="V5" s="41">
        <f>Výrobky!V5</f>
        <v>0</v>
      </c>
      <c r="W5" s="41">
        <f>Výrobky!W5</f>
        <v>1000000</v>
      </c>
      <c r="X5" s="41">
        <f>Výrobky!X5</f>
        <v>0</v>
      </c>
      <c r="Y5" s="41">
        <f>Výrobky!Y5</f>
        <v>0</v>
      </c>
      <c r="Z5" s="41">
        <f>Výrobky!Z5</f>
        <v>3300000</v>
      </c>
      <c r="AA5" s="41">
        <f>Výrobky!AA5</f>
        <v>0</v>
      </c>
      <c r="AB5" s="41">
        <f>Výrobky!AB5</f>
        <v>0</v>
      </c>
      <c r="AC5" s="41">
        <f>Výrobky!AC5</f>
        <v>0</v>
      </c>
      <c r="AD5" s="41">
        <f>Výrobky!AD5</f>
        <v>500000</v>
      </c>
      <c r="AE5" s="41">
        <f>Výrobky!AE5</f>
        <v>500000</v>
      </c>
      <c r="AF5" s="41">
        <f>Výrobky!AF5</f>
        <v>0</v>
      </c>
      <c r="AG5" s="41">
        <f t="shared" ref="AG5:AG27" si="1">SUM(U5:AF5)</f>
        <v>5300000</v>
      </c>
      <c r="AH5" s="397">
        <f>AG5/S5-1</f>
        <v>4.6102603969161216E-2</v>
      </c>
      <c r="AK5" s="96">
        <v>6</v>
      </c>
    </row>
    <row r="6" spans="1:37" s="96" customFormat="1" outlineLevel="1">
      <c r="A6" s="39">
        <v>1200</v>
      </c>
      <c r="B6" s="40" t="s">
        <v>81</v>
      </c>
      <c r="C6" s="41">
        <v>10110672.111666599</v>
      </c>
      <c r="D6" s="41">
        <v>10964703.805</v>
      </c>
      <c r="E6" s="41">
        <v>12264240.465</v>
      </c>
      <c r="G6" s="41">
        <f>Služby!G5</f>
        <v>933566.84569028043</v>
      </c>
      <c r="H6" s="41">
        <f>Služby!H5</f>
        <v>966635.09406168247</v>
      </c>
      <c r="I6" s="41">
        <f>Služby!I5</f>
        <v>1307237.0209771569</v>
      </c>
      <c r="J6" s="41">
        <f>Služby!J5</f>
        <v>1028073.6141105068</v>
      </c>
      <c r="K6" s="41">
        <f>Služby!K5</f>
        <v>1024656.0991840106</v>
      </c>
      <c r="L6" s="41">
        <f>Služby!L5</f>
        <v>1193132.3803437899</v>
      </c>
      <c r="M6" s="41">
        <f>Služby!M5</f>
        <v>1000390.4668536013</v>
      </c>
      <c r="N6" s="41">
        <f>Služby!N5</f>
        <v>1372606.4283160619</v>
      </c>
      <c r="O6" s="41">
        <f>Služby!O5</f>
        <v>1375761.4947143861</v>
      </c>
      <c r="P6" s="41">
        <f>Služby!P5</f>
        <v>1197774.8948612197</v>
      </c>
      <c r="Q6" s="41">
        <f>Služby!Q5</f>
        <v>1099342.9251709476</v>
      </c>
      <c r="R6" s="41">
        <f>Služby!R5</f>
        <v>1049152.6126321498</v>
      </c>
      <c r="S6" s="41">
        <f t="shared" si="0"/>
        <v>13548329.876915794</v>
      </c>
      <c r="U6" s="41">
        <f>Služby!U5</f>
        <v>4383.3204964732358</v>
      </c>
      <c r="V6" s="41">
        <f>Služby!V5</f>
        <v>199799.62464905882</v>
      </c>
      <c r="W6" s="41">
        <f>Služby!W5</f>
        <v>1934568.0428732277</v>
      </c>
      <c r="X6" s="41">
        <f>Služby!X5</f>
        <v>419554.08908467263</v>
      </c>
      <c r="Y6" s="41">
        <f>Služby!Y5</f>
        <v>546542.16319753777</v>
      </c>
      <c r="Z6" s="41">
        <f>Služby!Z5</f>
        <v>1505749.5173160068</v>
      </c>
      <c r="AA6" s="41">
        <f>Služby!AA5</f>
        <v>424675.01630992652</v>
      </c>
      <c r="AB6" s="41">
        <f>Služby!AB5</f>
        <v>2803579.1645558928</v>
      </c>
      <c r="AC6" s="41">
        <f>Služby!AC5</f>
        <v>2874714.6561450749</v>
      </c>
      <c r="AD6" s="41">
        <f>Služby!AD5</f>
        <v>1768774.4964972546</v>
      </c>
      <c r="AE6" s="41">
        <f>Služby!AE5</f>
        <v>1081256.9967153496</v>
      </c>
      <c r="AF6" s="41">
        <f>Služby!AF5</f>
        <v>731336.35206081916</v>
      </c>
      <c r="AG6" s="41">
        <f t="shared" si="1"/>
        <v>14294933.439901296</v>
      </c>
      <c r="AH6" s="397">
        <f t="shared" ref="AH6:AH10" si="2">AG6/S6-1</f>
        <v>5.5106686194406507E-2</v>
      </c>
    </row>
    <row r="7" spans="1:37" s="96" customFormat="1" outlineLevel="1">
      <c r="A7" s="42">
        <v>1300</v>
      </c>
      <c r="B7" s="43" t="s">
        <v>468</v>
      </c>
      <c r="C7" s="41">
        <v>3421091.8166666664</v>
      </c>
      <c r="D7" s="41">
        <v>4179925.625</v>
      </c>
      <c r="E7" s="41">
        <v>4053045.8450000002</v>
      </c>
      <c r="G7" s="41">
        <f>'Zboží zahr'!G5</f>
        <v>82746.666666666672</v>
      </c>
      <c r="H7" s="41">
        <f>'Zboží zahr'!H5</f>
        <v>99373.426649999979</v>
      </c>
      <c r="I7" s="41">
        <f>'Zboží zahr'!I5</f>
        <v>342182.70664999995</v>
      </c>
      <c r="J7" s="41">
        <f>'Zboží zahr'!J5</f>
        <v>466115.17481666675</v>
      </c>
      <c r="K7" s="41">
        <f>'Zboží zahr'!K5</f>
        <v>645236.91166666639</v>
      </c>
      <c r="L7" s="41">
        <f>'Zboží zahr'!L5</f>
        <v>492328.67666666704</v>
      </c>
      <c r="M7" s="41">
        <f>'Zboží zahr'!M5</f>
        <v>481246.48833333328</v>
      </c>
      <c r="N7" s="41">
        <f>'Zboží zahr'!N5</f>
        <v>529619.22833333281</v>
      </c>
      <c r="O7" s="41">
        <f>'Zboží zahr'!O5</f>
        <v>387142.58666666655</v>
      </c>
      <c r="P7" s="41">
        <f>'Zboží zahr'!P5</f>
        <v>333599.01333333307</v>
      </c>
      <c r="Q7" s="41">
        <f>'Zboží zahr'!Q5</f>
        <v>163322.10499999986</v>
      </c>
      <c r="R7" s="41">
        <f>'Zboží zahr'!R5</f>
        <v>73136.491666667178</v>
      </c>
      <c r="S7" s="41">
        <f t="shared" si="0"/>
        <v>4096049.4764499995</v>
      </c>
      <c r="U7" s="41">
        <f>'Zboží zahr'!U5</f>
        <v>82746.666666666672</v>
      </c>
      <c r="V7" s="41">
        <f>'Zboží zahr'!V5</f>
        <v>99373.426649999979</v>
      </c>
      <c r="W7" s="41">
        <f>'Zboží zahr'!W5</f>
        <v>342182.70664999995</v>
      </c>
      <c r="X7" s="41">
        <f>'Zboží zahr'!X5</f>
        <v>466115.17481666675</v>
      </c>
      <c r="Y7" s="41">
        <f>'Zboží zahr'!Y5</f>
        <v>784918.57833333302</v>
      </c>
      <c r="Z7" s="41">
        <f>'Zboží zahr'!Z5</f>
        <v>492328.67666666704</v>
      </c>
      <c r="AA7" s="41">
        <f>'Zboží zahr'!AA5</f>
        <v>481246.48833333328</v>
      </c>
      <c r="AB7" s="41">
        <f>'Zboží zahr'!AB5</f>
        <v>529619.22833333281</v>
      </c>
      <c r="AC7" s="41">
        <f>'Zboží zahr'!AC5</f>
        <v>387142.58666666655</v>
      </c>
      <c r="AD7" s="41">
        <f>'Zboží zahr'!AD5</f>
        <v>333599.01333333307</v>
      </c>
      <c r="AE7" s="41">
        <f>'Zboží zahr'!AE5</f>
        <v>163322.10499999986</v>
      </c>
      <c r="AF7" s="41">
        <f>'Zboží zahr'!AF5</f>
        <v>73136.491666667178</v>
      </c>
      <c r="AG7" s="41">
        <f t="shared" si="1"/>
        <v>4235731.1431166669</v>
      </c>
      <c r="AH7" s="397">
        <f t="shared" si="2"/>
        <v>3.4101557481119205E-2</v>
      </c>
    </row>
    <row r="8" spans="1:37" s="96" customFormat="1" outlineLevel="1">
      <c r="A8" s="42">
        <v>1400</v>
      </c>
      <c r="B8" s="43" t="s">
        <v>469</v>
      </c>
      <c r="C8" s="41">
        <v>680610.0033333333</v>
      </c>
      <c r="D8" s="41">
        <v>638828.23666666669</v>
      </c>
      <c r="E8" s="41">
        <v>605168.72166666656</v>
      </c>
      <c r="G8" s="41">
        <f>'Zbozi tuz'!G5</f>
        <v>27201.07583265</v>
      </c>
      <c r="H8" s="41">
        <f>'Zbozi tuz'!H5</f>
        <v>20560.858333333337</v>
      </c>
      <c r="I8" s="41">
        <f>'Zbozi tuz'!I5</f>
        <v>60355.245837691677</v>
      </c>
      <c r="J8" s="41">
        <f>'Zbozi tuz'!J5</f>
        <v>71795.214578991683</v>
      </c>
      <c r="K8" s="41">
        <f>'Zbozi tuz'!K5</f>
        <v>93494.560862965009</v>
      </c>
      <c r="L8" s="41">
        <f>'Zbozi tuz'!L5</f>
        <v>78583.325762038352</v>
      </c>
      <c r="M8" s="41">
        <f>'Zbozi tuz'!M5</f>
        <v>91504.142974198359</v>
      </c>
      <c r="N8" s="41">
        <f>'Zbozi tuz'!N5</f>
        <v>111467.81084347169</v>
      </c>
      <c r="O8" s="41">
        <f>'Zbozi tuz'!O5</f>
        <v>105571.53682283332</v>
      </c>
      <c r="P8" s="41">
        <f>'Zbozi tuz'!P5</f>
        <v>106636</v>
      </c>
      <c r="Q8" s="41">
        <f>'Zbozi tuz'!Q5</f>
        <v>53524.450000000012</v>
      </c>
      <c r="R8" s="41">
        <f>'Zbozi tuz'!R5</f>
        <v>49131.075000000004</v>
      </c>
      <c r="S8" s="41">
        <f t="shared" si="0"/>
        <v>869825.29684817349</v>
      </c>
      <c r="U8" s="41">
        <f>'Zbozi tuz'!U5</f>
        <v>27201.07583265</v>
      </c>
      <c r="V8" s="41">
        <f>'Zbozi tuz'!V5</f>
        <v>20560.858333333337</v>
      </c>
      <c r="W8" s="41">
        <f>'Zbozi tuz'!W5</f>
        <v>60355.245837691677</v>
      </c>
      <c r="X8" s="41">
        <f>'Zbozi tuz'!X5</f>
        <v>71795.214578991683</v>
      </c>
      <c r="Y8" s="41">
        <f>'Zbozi tuz'!Y5</f>
        <v>93494.560862965009</v>
      </c>
      <c r="Z8" s="41">
        <f>'Zbozi tuz'!Z5</f>
        <v>78583.325762038352</v>
      </c>
      <c r="AA8" s="41">
        <f>'Zbozi tuz'!AA5</f>
        <v>91504.142974198359</v>
      </c>
      <c r="AB8" s="41">
        <f>'Zbozi tuz'!AB5</f>
        <v>111467.81084347169</v>
      </c>
      <c r="AC8" s="41">
        <f>'Zbozi tuz'!AC5</f>
        <v>105571.53682283332</v>
      </c>
      <c r="AD8" s="41">
        <f>'Zbozi tuz'!AD5</f>
        <v>106636</v>
      </c>
      <c r="AE8" s="41">
        <f>'Zbozi tuz'!AE5</f>
        <v>53524.450000000012</v>
      </c>
      <c r="AF8" s="41">
        <f>'Zbozi tuz'!AF5</f>
        <v>49131.075000000004</v>
      </c>
      <c r="AG8" s="41">
        <f t="shared" si="1"/>
        <v>869825.29684817349</v>
      </c>
      <c r="AH8" s="397">
        <f t="shared" si="2"/>
        <v>0</v>
      </c>
    </row>
    <row r="9" spans="1:37" s="96" customFormat="1" outlineLevel="1">
      <c r="A9" s="42">
        <v>1500</v>
      </c>
      <c r="B9" s="43" t="s">
        <v>84</v>
      </c>
      <c r="C9" s="44">
        <v>167651.14000000001</v>
      </c>
      <c r="D9" s="44">
        <v>136331.57500000001</v>
      </c>
      <c r="E9" s="44">
        <v>83023.403333333335</v>
      </c>
      <c r="G9" s="44">
        <f>Najem!G5</f>
        <v>71023.666666666657</v>
      </c>
      <c r="H9" s="44">
        <f>Najem!H5</f>
        <v>71023.666666666657</v>
      </c>
      <c r="I9" s="44">
        <f>Najem!I5</f>
        <v>83023.666666666657</v>
      </c>
      <c r="J9" s="44">
        <f>Najem!J5</f>
        <v>83023.666666666657</v>
      </c>
      <c r="K9" s="44">
        <f>Najem!K5</f>
        <v>83023.666666666657</v>
      </c>
      <c r="L9" s="44">
        <f>Najem!L5</f>
        <v>83023.666666666657</v>
      </c>
      <c r="M9" s="44">
        <f>Najem!M5</f>
        <v>57436.666666666664</v>
      </c>
      <c r="N9" s="44">
        <f>Najem!N5</f>
        <v>57436.666666666664</v>
      </c>
      <c r="O9" s="44">
        <f>Najem!O5</f>
        <v>57436.666666666664</v>
      </c>
      <c r="P9" s="44">
        <f>Najem!P5</f>
        <v>57436.666666666664</v>
      </c>
      <c r="Q9" s="44">
        <f>Najem!Q5</f>
        <v>57436.666666666664</v>
      </c>
      <c r="R9" s="44">
        <f>Najem!R5</f>
        <v>57436.666666666664</v>
      </c>
      <c r="S9" s="44">
        <f t="shared" si="0"/>
        <v>818761.99999999965</v>
      </c>
      <c r="U9" s="44">
        <f>Najem!U5</f>
        <v>57436.666666666664</v>
      </c>
      <c r="V9" s="44">
        <f>Najem!V5</f>
        <v>57436.666666666664</v>
      </c>
      <c r="W9" s="44">
        <f>Najem!W5</f>
        <v>57436.666666666664</v>
      </c>
      <c r="X9" s="44">
        <f>Najem!X5</f>
        <v>57436.666666666664</v>
      </c>
      <c r="Y9" s="44">
        <f>Najem!Y5</f>
        <v>46836.666666666664</v>
      </c>
      <c r="Z9" s="44">
        <f>Najem!Z5</f>
        <v>46836.666666666664</v>
      </c>
      <c r="AA9" s="44">
        <f>Najem!AA5</f>
        <v>46836.666666666664</v>
      </c>
      <c r="AB9" s="44">
        <f>Najem!AB5</f>
        <v>46836.666666666664</v>
      </c>
      <c r="AC9" s="44">
        <f>Najem!AC5</f>
        <v>46836.666666666664</v>
      </c>
      <c r="AD9" s="44">
        <f>Najem!AD5</f>
        <v>46836.666666666664</v>
      </c>
      <c r="AE9" s="44">
        <f>Najem!AE5</f>
        <v>46836.666666666664</v>
      </c>
      <c r="AF9" s="44">
        <f>Najem!AF5</f>
        <v>46836.666666666664</v>
      </c>
      <c r="AG9" s="44">
        <f t="shared" si="1"/>
        <v>604440</v>
      </c>
      <c r="AH9" s="398">
        <f t="shared" si="2"/>
        <v>-0.26176349171065549</v>
      </c>
    </row>
    <row r="10" spans="1:37" s="100" customFormat="1">
      <c r="A10" s="122">
        <v>9000</v>
      </c>
      <c r="B10" s="123" t="s">
        <v>1</v>
      </c>
      <c r="C10" s="124">
        <f t="shared" ref="C10:F10" si="3">SUM(C5:C9)</f>
        <v>18429875.153333265</v>
      </c>
      <c r="D10" s="124">
        <f t="shared" si="3"/>
        <v>20379538.336666666</v>
      </c>
      <c r="E10" s="124">
        <f t="shared" si="3"/>
        <v>22303500.118333332</v>
      </c>
      <c r="F10" s="124">
        <f t="shared" si="3"/>
        <v>0</v>
      </c>
      <c r="G10" s="124">
        <f t="shared" ref="G10:R10" si="4">SUM(G5:G9)</f>
        <v>1207872.9481895973</v>
      </c>
      <c r="H10" s="124">
        <f t="shared" si="4"/>
        <v>1366682.3390450161</v>
      </c>
      <c r="I10" s="124">
        <f t="shared" si="4"/>
        <v>2245687.3384648487</v>
      </c>
      <c r="J10" s="124">
        <f t="shared" si="4"/>
        <v>2759338.2568394979</v>
      </c>
      <c r="K10" s="124">
        <f t="shared" si="4"/>
        <v>2291157.2850469756</v>
      </c>
      <c r="L10" s="124">
        <f t="shared" si="4"/>
        <v>2429546.4261058285</v>
      </c>
      <c r="M10" s="124">
        <f t="shared" si="4"/>
        <v>1956693.1131611324</v>
      </c>
      <c r="N10" s="124">
        <f t="shared" si="4"/>
        <v>2685544.1091595329</v>
      </c>
      <c r="O10" s="124">
        <f t="shared" si="4"/>
        <v>2228815.4132038862</v>
      </c>
      <c r="P10" s="124">
        <f t="shared" si="4"/>
        <v>2122720.0615278864</v>
      </c>
      <c r="Q10" s="124">
        <f t="shared" si="4"/>
        <v>1644172.5801709476</v>
      </c>
      <c r="R10" s="124">
        <f t="shared" si="4"/>
        <v>1461161.4109654839</v>
      </c>
      <c r="S10" s="124">
        <f t="shared" si="0"/>
        <v>24399391.281880632</v>
      </c>
      <c r="U10" s="124">
        <f t="shared" ref="U10:AF10" si="5">SUM(U5:U9)</f>
        <v>171767.72966245658</v>
      </c>
      <c r="V10" s="124">
        <f t="shared" si="5"/>
        <v>377170.57629905886</v>
      </c>
      <c r="W10" s="124">
        <f t="shared" si="5"/>
        <v>3394542.6620275863</v>
      </c>
      <c r="X10" s="124">
        <f t="shared" si="5"/>
        <v>1014901.1451469976</v>
      </c>
      <c r="Y10" s="124">
        <f t="shared" si="5"/>
        <v>1471791.9690605025</v>
      </c>
      <c r="Z10" s="124">
        <f t="shared" si="5"/>
        <v>5423498.1864113789</v>
      </c>
      <c r="AA10" s="124">
        <f t="shared" si="5"/>
        <v>1044262.3142841248</v>
      </c>
      <c r="AB10" s="124">
        <f t="shared" si="5"/>
        <v>3491502.8703993643</v>
      </c>
      <c r="AC10" s="124">
        <f t="shared" si="5"/>
        <v>3414265.4463012409</v>
      </c>
      <c r="AD10" s="124">
        <f t="shared" si="5"/>
        <v>2755846.1764972545</v>
      </c>
      <c r="AE10" s="124">
        <f t="shared" si="5"/>
        <v>1844940.2183820163</v>
      </c>
      <c r="AF10" s="124">
        <f t="shared" si="5"/>
        <v>900440.58539415291</v>
      </c>
      <c r="AG10" s="124">
        <f t="shared" si="1"/>
        <v>25304929.879866134</v>
      </c>
      <c r="AH10" s="397">
        <f t="shared" si="2"/>
        <v>3.7113163501663715E-2</v>
      </c>
    </row>
    <row r="11" spans="1:37" s="96" customFormat="1" ht="23.1" customHeight="1" outlineLevel="1">
      <c r="A11" s="42">
        <v>2110</v>
      </c>
      <c r="B11" s="43" t="s">
        <v>85</v>
      </c>
      <c r="C11" s="41">
        <v>1250767.7458333301</v>
      </c>
      <c r="D11" s="41">
        <v>1231549.92722222</v>
      </c>
      <c r="E11" s="41">
        <v>1275488.36611111</v>
      </c>
      <c r="F11" s="96">
        <v>6</v>
      </c>
      <c r="G11" s="41">
        <f>Výrobky!G6</f>
        <v>23333.673333333336</v>
      </c>
      <c r="H11" s="41">
        <f>Výrobky!H6</f>
        <v>52272.323333333341</v>
      </c>
      <c r="I11" s="41">
        <f>Výrobky!I6</f>
        <v>113222.17458333336</v>
      </c>
      <c r="J11" s="41">
        <f>Výrobky!J6</f>
        <v>277582.64666666661</v>
      </c>
      <c r="K11" s="41">
        <f>Výrobky!K6</f>
        <v>111186.51166666672</v>
      </c>
      <c r="L11" s="41">
        <f>Výrobky!L6</f>
        <v>145619.59416666673</v>
      </c>
      <c r="M11" s="41">
        <f>Výrobky!M6</f>
        <v>81528.837083333172</v>
      </c>
      <c r="N11" s="41">
        <f>Výrobky!N6</f>
        <v>153603.49375000005</v>
      </c>
      <c r="O11" s="41">
        <f>Výrobky!O6</f>
        <v>75725.78208333347</v>
      </c>
      <c r="P11" s="41">
        <f>Výrobky!P6</f>
        <v>106818.37166666675</v>
      </c>
      <c r="Q11" s="41">
        <f>Výrobky!Q6</f>
        <v>67636.608333333395</v>
      </c>
      <c r="R11" s="41">
        <f>Výrobky!R6</f>
        <v>58076.141250000022</v>
      </c>
      <c r="S11" s="41">
        <f t="shared" si="0"/>
        <v>1266606.1579166669</v>
      </c>
      <c r="U11" s="41">
        <f>Výrobky!U6</f>
        <v>0</v>
      </c>
      <c r="V11" s="41">
        <f>Výrobky!V6</f>
        <v>0</v>
      </c>
      <c r="W11" s="41">
        <f>Výrobky!W6</f>
        <v>280000</v>
      </c>
      <c r="X11" s="41">
        <f>Výrobky!X6</f>
        <v>0</v>
      </c>
      <c r="Y11" s="41">
        <f>Výrobky!Y6</f>
        <v>0</v>
      </c>
      <c r="Z11" s="41">
        <f>Výrobky!Z6</f>
        <v>924000.00000000012</v>
      </c>
      <c r="AA11" s="41">
        <f>Výrobky!AA6</f>
        <v>0</v>
      </c>
      <c r="AB11" s="41">
        <f>Výrobky!AB6</f>
        <v>0</v>
      </c>
      <c r="AC11" s="41">
        <f>Výrobky!AC6</f>
        <v>0</v>
      </c>
      <c r="AD11" s="41">
        <f>Výrobky!AD6</f>
        <v>140000</v>
      </c>
      <c r="AE11" s="41">
        <f>Výrobky!AE6</f>
        <v>140000</v>
      </c>
      <c r="AF11" s="41">
        <f>Výrobky!AF6</f>
        <v>0</v>
      </c>
      <c r="AG11" s="41">
        <f t="shared" si="1"/>
        <v>1484000</v>
      </c>
    </row>
    <row r="12" spans="1:37" s="96" customFormat="1" outlineLevel="1">
      <c r="A12" s="42">
        <v>2120</v>
      </c>
      <c r="B12" s="43" t="s">
        <v>86</v>
      </c>
      <c r="C12" s="41">
        <v>1865182.1016666666</v>
      </c>
      <c r="D12" s="41">
        <v>2163546</v>
      </c>
      <c r="E12" s="41">
        <v>2371983.8333333335</v>
      </c>
      <c r="G12" s="41">
        <f>Výrobky!G7</f>
        <v>42000.612000000008</v>
      </c>
      <c r="H12" s="41">
        <f>Výrobky!H7</f>
        <v>94090.182000000015</v>
      </c>
      <c r="I12" s="41">
        <f>Výrobky!I7</f>
        <v>203799.91425000003</v>
      </c>
      <c r="J12" s="41">
        <f>Výrobky!J7</f>
        <v>499648.76399999991</v>
      </c>
      <c r="K12" s="41">
        <f>Výrobky!K7</f>
        <v>200135.72100000011</v>
      </c>
      <c r="L12" s="41">
        <f>Výrobky!L7</f>
        <v>262115.26950000014</v>
      </c>
      <c r="M12" s="41">
        <f>Výrobky!M7</f>
        <v>146751.9067499997</v>
      </c>
      <c r="N12" s="41">
        <f>Výrobky!N7</f>
        <v>276486.28875000012</v>
      </c>
      <c r="O12" s="41">
        <f>Výrobky!O7</f>
        <v>136306.40775000025</v>
      </c>
      <c r="P12" s="41">
        <f>Výrobky!P7</f>
        <v>192273.06900000013</v>
      </c>
      <c r="Q12" s="41">
        <f>Výrobky!Q7</f>
        <v>121745.89500000012</v>
      </c>
      <c r="R12" s="41">
        <f>Výrobky!R7</f>
        <v>104537.05425000004</v>
      </c>
      <c r="S12" s="41">
        <f t="shared" si="0"/>
        <v>2279891.0842500003</v>
      </c>
      <c r="U12" s="41">
        <f>Výrobky!U7</f>
        <v>221290.85000000003</v>
      </c>
      <c r="V12" s="41">
        <f>Výrobky!V7</f>
        <v>220740.85000000003</v>
      </c>
      <c r="W12" s="41">
        <f>Výrobky!W7</f>
        <v>221015.85000000003</v>
      </c>
      <c r="X12" s="41">
        <f>Výrobky!X7</f>
        <v>220740.85000000003</v>
      </c>
      <c r="Y12" s="41">
        <f>Výrobky!Y7</f>
        <v>221015.85000000003</v>
      </c>
      <c r="Z12" s="41">
        <f>Výrobky!Z7</f>
        <v>221015.85000000003</v>
      </c>
      <c r="AA12" s="41">
        <f>Výrobky!AA7</f>
        <v>220740.85000000003</v>
      </c>
      <c r="AB12" s="41">
        <f>Výrobky!AB7</f>
        <v>221565.85000000003</v>
      </c>
      <c r="AC12" s="41">
        <f>Výrobky!AC7</f>
        <v>220465.85000000003</v>
      </c>
      <c r="AD12" s="41">
        <f>Výrobky!AD7</f>
        <v>221565.85000000003</v>
      </c>
      <c r="AE12" s="41">
        <f>Výrobky!AE7</f>
        <v>221290.85000000003</v>
      </c>
      <c r="AF12" s="41">
        <f>Výrobky!AF7</f>
        <v>220190.85000000003</v>
      </c>
      <c r="AG12" s="41">
        <f t="shared" si="1"/>
        <v>2651640.2000000007</v>
      </c>
    </row>
    <row r="13" spans="1:37" s="96" customFormat="1" outlineLevel="1">
      <c r="A13" s="42">
        <v>2130</v>
      </c>
      <c r="B13" s="43" t="s">
        <v>87</v>
      </c>
      <c r="C13" s="44">
        <v>18768.338333333333</v>
      </c>
      <c r="D13" s="44">
        <v>86383.333333333328</v>
      </c>
      <c r="E13" s="44">
        <v>30086.666666666668</v>
      </c>
      <c r="G13" s="44">
        <f>Výrobky!G8</f>
        <v>2678.0516666666667</v>
      </c>
      <c r="H13" s="44">
        <f>Výrobky!H8</f>
        <v>31111.040000000005</v>
      </c>
      <c r="I13" s="44">
        <f>Výrobky!I8</f>
        <v>48244.619999999995</v>
      </c>
      <c r="J13" s="44">
        <f>Výrobky!J8</f>
        <v>26103.226666666684</v>
      </c>
      <c r="K13" s="44">
        <f>Výrobky!K8</f>
        <v>74296.354999999981</v>
      </c>
      <c r="L13" s="44">
        <f>Výrobky!L8</f>
        <v>64256.100000000013</v>
      </c>
      <c r="M13" s="44">
        <f>Výrobky!M8</f>
        <v>25668.806666666682</v>
      </c>
      <c r="N13" s="44">
        <f>Výrobky!N8</f>
        <v>57845.96166666667</v>
      </c>
      <c r="O13" s="44">
        <f>Výrobky!O8</f>
        <v>7728.3983333333163</v>
      </c>
      <c r="P13" s="44">
        <f>Výrobky!P8</f>
        <v>53821.638333333307</v>
      </c>
      <c r="Q13" s="44">
        <f>Výrobky!Q8</f>
        <v>23806.5883333333</v>
      </c>
      <c r="R13" s="44">
        <f>Výrobky!R8</f>
        <v>1166.6666666666667</v>
      </c>
      <c r="S13" s="44">
        <f t="shared" si="0"/>
        <v>416727.45333333331</v>
      </c>
      <c r="U13" s="44">
        <f>Výrobky!U8</f>
        <v>0</v>
      </c>
      <c r="V13" s="44">
        <f>Výrobky!V8</f>
        <v>0</v>
      </c>
      <c r="W13" s="44">
        <f>Výrobky!W8</f>
        <v>80000</v>
      </c>
      <c r="X13" s="44">
        <f>Výrobky!X8</f>
        <v>0</v>
      </c>
      <c r="Y13" s="44">
        <f>Výrobky!Y8</f>
        <v>0</v>
      </c>
      <c r="Z13" s="44">
        <f>Výrobky!Z8</f>
        <v>264000</v>
      </c>
      <c r="AA13" s="44">
        <f>Výrobky!AA8</f>
        <v>0</v>
      </c>
      <c r="AB13" s="44">
        <f>Výrobky!AB8</f>
        <v>0</v>
      </c>
      <c r="AC13" s="44">
        <f>Výrobky!AC8</f>
        <v>0</v>
      </c>
      <c r="AD13" s="44">
        <f>Výrobky!AD8</f>
        <v>40000</v>
      </c>
      <c r="AE13" s="44">
        <f>Výrobky!AE8</f>
        <v>40000</v>
      </c>
      <c r="AF13" s="44">
        <f>Výrobky!AF8</f>
        <v>0</v>
      </c>
      <c r="AG13" s="44">
        <f t="shared" si="1"/>
        <v>424000</v>
      </c>
    </row>
    <row r="14" spans="1:37" s="96" customFormat="1" outlineLevel="1">
      <c r="A14" s="45">
        <v>9110</v>
      </c>
      <c r="B14" s="46" t="s">
        <v>88</v>
      </c>
      <c r="C14" s="107">
        <f t="shared" ref="C14:F14" si="6">SUM(C11:C13)</f>
        <v>3134718.1858333298</v>
      </c>
      <c r="D14" s="107">
        <f t="shared" si="6"/>
        <v>3481479.2605555537</v>
      </c>
      <c r="E14" s="107">
        <f t="shared" si="6"/>
        <v>3677558.86611111</v>
      </c>
      <c r="F14" s="107">
        <f t="shared" si="6"/>
        <v>6</v>
      </c>
      <c r="G14" s="107">
        <f t="shared" ref="G14:R14" si="7">SUM(G11:G13)</f>
        <v>68012.337000000014</v>
      </c>
      <c r="H14" s="107">
        <f t="shared" si="7"/>
        <v>177473.54533333337</v>
      </c>
      <c r="I14" s="107">
        <f t="shared" si="7"/>
        <v>365266.7088333334</v>
      </c>
      <c r="J14" s="107">
        <f t="shared" si="7"/>
        <v>803334.63733333314</v>
      </c>
      <c r="K14" s="107">
        <f t="shared" si="7"/>
        <v>385618.58766666683</v>
      </c>
      <c r="L14" s="107">
        <f t="shared" si="7"/>
        <v>471990.96366666694</v>
      </c>
      <c r="M14" s="107">
        <f t="shared" si="7"/>
        <v>253949.55049999955</v>
      </c>
      <c r="N14" s="107">
        <f t="shared" si="7"/>
        <v>487935.74416666687</v>
      </c>
      <c r="O14" s="107">
        <f t="shared" si="7"/>
        <v>219760.58816666703</v>
      </c>
      <c r="P14" s="107">
        <f t="shared" si="7"/>
        <v>352913.0790000002</v>
      </c>
      <c r="Q14" s="107">
        <f t="shared" si="7"/>
        <v>213189.09166666682</v>
      </c>
      <c r="R14" s="107">
        <f t="shared" si="7"/>
        <v>163779.86216666672</v>
      </c>
      <c r="S14" s="107">
        <f t="shared" si="0"/>
        <v>3963224.6955000013</v>
      </c>
      <c r="U14" s="107">
        <f t="shared" ref="U14:AF14" si="8">SUM(U11:U13)</f>
        <v>221290.85000000003</v>
      </c>
      <c r="V14" s="107">
        <f t="shared" si="8"/>
        <v>220740.85000000003</v>
      </c>
      <c r="W14" s="107">
        <f t="shared" si="8"/>
        <v>581015.85000000009</v>
      </c>
      <c r="X14" s="107">
        <f t="shared" si="8"/>
        <v>220740.85000000003</v>
      </c>
      <c r="Y14" s="107">
        <f t="shared" si="8"/>
        <v>221015.85000000003</v>
      </c>
      <c r="Z14" s="107">
        <f t="shared" si="8"/>
        <v>1409015.85</v>
      </c>
      <c r="AA14" s="107">
        <f t="shared" si="8"/>
        <v>220740.85000000003</v>
      </c>
      <c r="AB14" s="107">
        <f t="shared" si="8"/>
        <v>221565.85000000003</v>
      </c>
      <c r="AC14" s="107">
        <f t="shared" si="8"/>
        <v>220465.85000000003</v>
      </c>
      <c r="AD14" s="107">
        <f t="shared" si="8"/>
        <v>401565.85000000003</v>
      </c>
      <c r="AE14" s="107">
        <f t="shared" si="8"/>
        <v>401290.85000000003</v>
      </c>
      <c r="AF14" s="107">
        <f t="shared" si="8"/>
        <v>220190.85000000003</v>
      </c>
      <c r="AG14" s="107">
        <f t="shared" si="1"/>
        <v>4559640.2</v>
      </c>
    </row>
    <row r="15" spans="1:37" s="96" customFormat="1" ht="26.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f>Služby!G6</f>
        <v>0</v>
      </c>
      <c r="H15" s="41">
        <f>Služby!H6</f>
        <v>0</v>
      </c>
      <c r="I15" s="41">
        <f>Služby!I6</f>
        <v>0</v>
      </c>
      <c r="J15" s="41">
        <f>Služby!J6</f>
        <v>0</v>
      </c>
      <c r="K15" s="41">
        <f>Služby!K6</f>
        <v>0</v>
      </c>
      <c r="L15" s="41">
        <f>Služby!L6</f>
        <v>0</v>
      </c>
      <c r="M15" s="41">
        <f>Služby!M6</f>
        <v>0</v>
      </c>
      <c r="N15" s="41">
        <f>Služby!N6</f>
        <v>0</v>
      </c>
      <c r="O15" s="41">
        <f>Služby!O6</f>
        <v>0</v>
      </c>
      <c r="P15" s="41">
        <f>Služby!P6</f>
        <v>0</v>
      </c>
      <c r="Q15" s="41">
        <f>Služby!Q6</f>
        <v>0</v>
      </c>
      <c r="R15" s="41">
        <f>Služby!R6</f>
        <v>0</v>
      </c>
      <c r="S15" s="41">
        <f t="shared" si="0"/>
        <v>0</v>
      </c>
      <c r="U15" s="41">
        <f>Služby!U6</f>
        <v>0</v>
      </c>
      <c r="V15" s="41">
        <f>Služby!V6</f>
        <v>0</v>
      </c>
      <c r="W15" s="41">
        <f>Služby!W6</f>
        <v>0</v>
      </c>
      <c r="X15" s="41">
        <f>Služby!X6</f>
        <v>0</v>
      </c>
      <c r="Y15" s="41">
        <f>Služby!Y6</f>
        <v>0</v>
      </c>
      <c r="Z15" s="41">
        <f>Služby!Z6</f>
        <v>0</v>
      </c>
      <c r="AA15" s="41">
        <f>Služby!AA6</f>
        <v>0</v>
      </c>
      <c r="AB15" s="41">
        <f>Služby!AB6</f>
        <v>0</v>
      </c>
      <c r="AC15" s="41">
        <f>Služby!AC6</f>
        <v>0</v>
      </c>
      <c r="AD15" s="41">
        <f>Služby!AD6</f>
        <v>0</v>
      </c>
      <c r="AE15" s="41">
        <f>Služby!AE6</f>
        <v>0</v>
      </c>
      <c r="AF15" s="41">
        <f>Služby!AF6</f>
        <v>0</v>
      </c>
      <c r="AG15" s="41">
        <f t="shared" si="1"/>
        <v>0</v>
      </c>
    </row>
    <row r="16" spans="1:37" s="96" customFormat="1" outlineLevel="1">
      <c r="A16" s="42">
        <v>2220</v>
      </c>
      <c r="B16" s="43" t="s">
        <v>90</v>
      </c>
      <c r="C16" s="41">
        <f>(0.5*C6)</f>
        <v>5055336.0558332996</v>
      </c>
      <c r="D16" s="41">
        <f>(0.53*D6)</f>
        <v>5811293.0166500006</v>
      </c>
      <c r="E16" s="41">
        <f>(0.56*E6)</f>
        <v>6867974.6604000004</v>
      </c>
      <c r="F16" s="96">
        <v>2</v>
      </c>
      <c r="G16" s="41">
        <f>Služby!G7</f>
        <v>522797.4335865571</v>
      </c>
      <c r="H16" s="41">
        <f>Služby!H7</f>
        <v>541315.65267454227</v>
      </c>
      <c r="I16" s="41">
        <f>Služby!I7</f>
        <v>732052.73174720793</v>
      </c>
      <c r="J16" s="41">
        <f>Služby!J7</f>
        <v>575721.22390188393</v>
      </c>
      <c r="K16" s="41">
        <f>Služby!K7</f>
        <v>573807.41554304597</v>
      </c>
      <c r="L16" s="41">
        <f>Služby!L7</f>
        <v>668154.13299252244</v>
      </c>
      <c r="M16" s="41">
        <f>Služby!M7</f>
        <v>560218.6614380168</v>
      </c>
      <c r="N16" s="41">
        <f>Služby!N7</f>
        <v>768659.5998569947</v>
      </c>
      <c r="O16" s="41">
        <f>Služby!O7</f>
        <v>770426.43704005622</v>
      </c>
      <c r="P16" s="41">
        <f>Služby!P7</f>
        <v>670753.94112228311</v>
      </c>
      <c r="Q16" s="41">
        <f>Služby!Q7</f>
        <v>615632.03809573071</v>
      </c>
      <c r="R16" s="41">
        <f>Služby!R7</f>
        <v>587525.46307400393</v>
      </c>
      <c r="S16" s="41">
        <f t="shared" si="0"/>
        <v>7587064.7310728449</v>
      </c>
      <c r="U16" s="41">
        <f>Služby!U7</f>
        <v>647428.79999999993</v>
      </c>
      <c r="V16" s="41">
        <f>Služby!V7</f>
        <v>646108.79999999993</v>
      </c>
      <c r="W16" s="41">
        <f>Služby!W7</f>
        <v>646768.79999999993</v>
      </c>
      <c r="X16" s="41">
        <f>Služby!X7</f>
        <v>646108.79999999993</v>
      </c>
      <c r="Y16" s="41">
        <f>Služby!Y7</f>
        <v>646768.79999999993</v>
      </c>
      <c r="Z16" s="41">
        <f>Služby!Z7</f>
        <v>646768.79999999993</v>
      </c>
      <c r="AA16" s="41">
        <f>Služby!AA7</f>
        <v>646108.79999999993</v>
      </c>
      <c r="AB16" s="41">
        <f>Služby!AB7</f>
        <v>648088.79999999993</v>
      </c>
      <c r="AC16" s="41">
        <f>Služby!AC7</f>
        <v>645448.79999999993</v>
      </c>
      <c r="AD16" s="41">
        <f>Služby!AD7</f>
        <v>648088.79999999993</v>
      </c>
      <c r="AE16" s="41">
        <f>Služby!AE7</f>
        <v>647428.79999999993</v>
      </c>
      <c r="AF16" s="41">
        <f>Služby!AF7</f>
        <v>644788.79999999993</v>
      </c>
      <c r="AG16" s="41">
        <f t="shared" si="1"/>
        <v>7759905.5999999987</v>
      </c>
    </row>
    <row r="17" spans="1:43" s="96" customFormat="1" outlineLevel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f>Služby!G8</f>
        <v>0</v>
      </c>
      <c r="H17" s="44">
        <f>Služby!H8</f>
        <v>0</v>
      </c>
      <c r="I17" s="44">
        <f>Služby!I8</f>
        <v>0</v>
      </c>
      <c r="J17" s="44">
        <f>Služby!J8</f>
        <v>0</v>
      </c>
      <c r="K17" s="44">
        <f>Služby!K8</f>
        <v>0</v>
      </c>
      <c r="L17" s="44">
        <f>Služby!L8</f>
        <v>0</v>
      </c>
      <c r="M17" s="44">
        <f>Služby!M8</f>
        <v>0</v>
      </c>
      <c r="N17" s="44">
        <f>Služby!N8</f>
        <v>0</v>
      </c>
      <c r="O17" s="44">
        <f>Služby!O8</f>
        <v>0</v>
      </c>
      <c r="P17" s="44">
        <f>Služby!P8</f>
        <v>0</v>
      </c>
      <c r="Q17" s="44">
        <f>Služby!Q8</f>
        <v>0</v>
      </c>
      <c r="R17" s="44">
        <f>Služby!R8</f>
        <v>0</v>
      </c>
      <c r="S17" s="44">
        <f t="shared" si="0"/>
        <v>0</v>
      </c>
      <c r="U17" s="44">
        <f>Služby!U8</f>
        <v>0</v>
      </c>
      <c r="V17" s="44">
        <f>Služby!V8</f>
        <v>0</v>
      </c>
      <c r="W17" s="44">
        <f>Služby!W8</f>
        <v>0</v>
      </c>
      <c r="X17" s="44">
        <f>Služby!X8</f>
        <v>0</v>
      </c>
      <c r="Y17" s="44">
        <f>Služby!Y8</f>
        <v>0</v>
      </c>
      <c r="Z17" s="44">
        <f>Služby!Z8</f>
        <v>0</v>
      </c>
      <c r="AA17" s="44">
        <f>Služby!AA8</f>
        <v>0</v>
      </c>
      <c r="AB17" s="44">
        <f>Služby!AB8</f>
        <v>0</v>
      </c>
      <c r="AC17" s="44">
        <f>Služby!AC8</f>
        <v>0</v>
      </c>
      <c r="AD17" s="44">
        <f>Služby!AD8</f>
        <v>0</v>
      </c>
      <c r="AE17" s="44">
        <f>Služby!AE8</f>
        <v>0</v>
      </c>
      <c r="AF17" s="44">
        <f>Služby!AF8</f>
        <v>0</v>
      </c>
      <c r="AG17" s="44">
        <f t="shared" si="1"/>
        <v>0</v>
      </c>
    </row>
    <row r="18" spans="1:43" s="96" customFormat="1" outlineLevel="1">
      <c r="A18" s="45">
        <v>9120</v>
      </c>
      <c r="B18" s="46" t="s">
        <v>92</v>
      </c>
      <c r="C18" s="107">
        <f t="shared" ref="C18:F18" si="9">SUM(C15:C17)</f>
        <v>5055336.0558332996</v>
      </c>
      <c r="D18" s="107">
        <f t="shared" si="9"/>
        <v>5811293.0166500006</v>
      </c>
      <c r="E18" s="107">
        <f t="shared" si="9"/>
        <v>6867974.6604000004</v>
      </c>
      <c r="F18" s="107">
        <f t="shared" si="9"/>
        <v>2</v>
      </c>
      <c r="G18" s="107">
        <f t="shared" ref="G18:R18" si="10">SUM(G15:G17)</f>
        <v>522797.4335865571</v>
      </c>
      <c r="H18" s="107">
        <f t="shared" si="10"/>
        <v>541315.65267454227</v>
      </c>
      <c r="I18" s="107">
        <f t="shared" si="10"/>
        <v>732052.73174720793</v>
      </c>
      <c r="J18" s="107">
        <f t="shared" si="10"/>
        <v>575721.22390188393</v>
      </c>
      <c r="K18" s="107">
        <f t="shared" si="10"/>
        <v>573807.41554304597</v>
      </c>
      <c r="L18" s="107">
        <f t="shared" si="10"/>
        <v>668154.13299252244</v>
      </c>
      <c r="M18" s="107">
        <f t="shared" si="10"/>
        <v>560218.6614380168</v>
      </c>
      <c r="N18" s="107">
        <f t="shared" si="10"/>
        <v>768659.5998569947</v>
      </c>
      <c r="O18" s="107">
        <f t="shared" si="10"/>
        <v>770426.43704005622</v>
      </c>
      <c r="P18" s="107">
        <f t="shared" si="10"/>
        <v>670753.94112228311</v>
      </c>
      <c r="Q18" s="107">
        <f t="shared" si="10"/>
        <v>615632.03809573071</v>
      </c>
      <c r="R18" s="107">
        <f t="shared" si="10"/>
        <v>587525.46307400393</v>
      </c>
      <c r="S18" s="107">
        <f t="shared" si="0"/>
        <v>7587064.7310728449</v>
      </c>
      <c r="U18" s="107">
        <f t="shared" ref="U18:AF18" si="11">SUM(U15:U17)</f>
        <v>647428.79999999993</v>
      </c>
      <c r="V18" s="107">
        <f t="shared" si="11"/>
        <v>646108.79999999993</v>
      </c>
      <c r="W18" s="107">
        <f t="shared" si="11"/>
        <v>646768.79999999993</v>
      </c>
      <c r="X18" s="107">
        <f t="shared" si="11"/>
        <v>646108.79999999993</v>
      </c>
      <c r="Y18" s="107">
        <f t="shared" si="11"/>
        <v>646768.79999999993</v>
      </c>
      <c r="Z18" s="107">
        <f t="shared" si="11"/>
        <v>646768.79999999993</v>
      </c>
      <c r="AA18" s="107">
        <f t="shared" si="11"/>
        <v>646108.79999999993</v>
      </c>
      <c r="AB18" s="107">
        <f t="shared" si="11"/>
        <v>648088.79999999993</v>
      </c>
      <c r="AC18" s="107">
        <f t="shared" si="11"/>
        <v>645448.79999999993</v>
      </c>
      <c r="AD18" s="107">
        <f t="shared" si="11"/>
        <v>648088.79999999993</v>
      </c>
      <c r="AE18" s="107">
        <f t="shared" si="11"/>
        <v>647428.79999999993</v>
      </c>
      <c r="AF18" s="107">
        <f t="shared" si="11"/>
        <v>644788.79999999993</v>
      </c>
      <c r="AG18" s="107">
        <f t="shared" si="1"/>
        <v>7759905.5999999987</v>
      </c>
    </row>
    <row r="19" spans="1:43" s="96" customFormat="1" ht="24" customHeight="1" outlineLevel="1">
      <c r="A19" s="48">
        <v>2300</v>
      </c>
      <c r="B19" s="49" t="s">
        <v>471</v>
      </c>
      <c r="C19" s="41">
        <v>2080583.3399999999</v>
      </c>
      <c r="D19" s="41">
        <v>2551142.6016666666</v>
      </c>
      <c r="E19" s="41">
        <v>2491086.7716666665</v>
      </c>
      <c r="G19" s="41">
        <f>'Zboží zahr'!G6</f>
        <v>51302.933333333334</v>
      </c>
      <c r="H19" s="41">
        <f>'Zboží zahr'!H6</f>
        <v>61611.524522999985</v>
      </c>
      <c r="I19" s="41">
        <f>'Zboží zahr'!I6</f>
        <v>212153.27812299997</v>
      </c>
      <c r="J19" s="41">
        <f>'Zboží zahr'!J6</f>
        <v>288991.40838633338</v>
      </c>
      <c r="K19" s="41">
        <f>'Zboží zahr'!K6</f>
        <v>400046.88523333316</v>
      </c>
      <c r="L19" s="41">
        <f>'Zboží zahr'!L6</f>
        <v>305243.77953333355</v>
      </c>
      <c r="M19" s="41">
        <f>'Zboží zahr'!M6</f>
        <v>298372.82276666665</v>
      </c>
      <c r="N19" s="41">
        <f>'Zboží zahr'!N6</f>
        <v>328363.92156666634</v>
      </c>
      <c r="O19" s="41">
        <f>'Zboží zahr'!O6</f>
        <v>240028.40373333325</v>
      </c>
      <c r="P19" s="41">
        <f>'Zboží zahr'!P6</f>
        <v>206831.3882666665</v>
      </c>
      <c r="Q19" s="41">
        <f>'Zboží zahr'!Q6</f>
        <v>101259.70509999992</v>
      </c>
      <c r="R19" s="41">
        <f>'Zboží zahr'!R6</f>
        <v>45344.624833333648</v>
      </c>
      <c r="S19" s="41">
        <f t="shared" si="0"/>
        <v>2539550.6753989998</v>
      </c>
      <c r="U19" s="41">
        <f>'Zboží zahr'!U6</f>
        <v>51302.933333333334</v>
      </c>
      <c r="V19" s="41">
        <f>'Zboží zahr'!V6</f>
        <v>61611.524522999985</v>
      </c>
      <c r="W19" s="41">
        <f>'Zboží zahr'!W6</f>
        <v>212153.27812299997</v>
      </c>
      <c r="X19" s="41">
        <f>'Zboží zahr'!X6</f>
        <v>288991.40838633338</v>
      </c>
      <c r="Y19" s="41">
        <f>'Zboží zahr'!Y6</f>
        <v>486649.51856666646</v>
      </c>
      <c r="Z19" s="41">
        <f>'Zboží zahr'!Z6</f>
        <v>305243.77953333355</v>
      </c>
      <c r="AA19" s="41">
        <f>'Zboží zahr'!AA6</f>
        <v>298372.82276666665</v>
      </c>
      <c r="AB19" s="41">
        <f>'Zboží zahr'!AB6</f>
        <v>328363.92156666634</v>
      </c>
      <c r="AC19" s="41">
        <f>'Zboží zahr'!AC6</f>
        <v>240028.40373333325</v>
      </c>
      <c r="AD19" s="41">
        <f>'Zboží zahr'!AD6</f>
        <v>206831.3882666665</v>
      </c>
      <c r="AE19" s="41">
        <f>'Zboží zahr'!AE6</f>
        <v>101259.70509999992</v>
      </c>
      <c r="AF19" s="41">
        <f>'Zboží zahr'!AF6</f>
        <v>45344.624833333655</v>
      </c>
      <c r="AG19" s="41">
        <f t="shared" si="1"/>
        <v>2626153.3087323331</v>
      </c>
    </row>
    <row r="20" spans="1:43" s="96" customFormat="1" outlineLevel="1">
      <c r="A20" s="48">
        <v>2400</v>
      </c>
      <c r="B20" s="49" t="s">
        <v>470</v>
      </c>
      <c r="C20" s="41">
        <v>572400.20000000007</v>
      </c>
      <c r="D20" s="41">
        <v>503818.33</v>
      </c>
      <c r="E20" s="41">
        <v>489853.25666666665</v>
      </c>
      <c r="G20" s="41">
        <f>'Zbozi tuz'!G6</f>
        <v>22576.892941099501</v>
      </c>
      <c r="H20" s="41">
        <f>'Zbozi tuz'!H6</f>
        <v>17065.512416666668</v>
      </c>
      <c r="I20" s="41">
        <f>'Zbozi tuz'!I6</f>
        <v>50094.85404528409</v>
      </c>
      <c r="J20" s="41">
        <f>'Zbozi tuz'!J6</f>
        <v>59590.028100563097</v>
      </c>
      <c r="K20" s="41">
        <f>'Zbozi tuz'!K6</f>
        <v>77600.48551626096</v>
      </c>
      <c r="L20" s="41">
        <f>'Zbozi tuz'!L6</f>
        <v>65224.160382491827</v>
      </c>
      <c r="M20" s="41">
        <f>'Zbozi tuz'!M6</f>
        <v>75948.43866858464</v>
      </c>
      <c r="N20" s="41">
        <f>'Zbozi tuz'!N6</f>
        <v>92518.283000081501</v>
      </c>
      <c r="O20" s="41">
        <f>'Zbozi tuz'!O6</f>
        <v>87624.375562951653</v>
      </c>
      <c r="P20" s="41">
        <f>'Zbozi tuz'!P6</f>
        <v>88507.87999999999</v>
      </c>
      <c r="Q20" s="41">
        <f>'Zbozi tuz'!Q6</f>
        <v>44425.293500000007</v>
      </c>
      <c r="R20" s="41">
        <f>'Zbozi tuz'!R6</f>
        <v>40778.792249999999</v>
      </c>
      <c r="S20" s="41">
        <f t="shared" si="0"/>
        <v>721954.99638398387</v>
      </c>
      <c r="U20" s="41">
        <f>'Zbozi tuz'!U6</f>
        <v>22141.675727777099</v>
      </c>
      <c r="V20" s="41">
        <f>'Zbozi tuz'!V6</f>
        <v>16736.538683333336</v>
      </c>
      <c r="W20" s="41">
        <f>'Zbozi tuz'!W6</f>
        <v>49129.170111881023</v>
      </c>
      <c r="X20" s="41">
        <f>'Zbozi tuz'!X6</f>
        <v>58441.304667299228</v>
      </c>
      <c r="Y20" s="41">
        <f>'Zbozi tuz'!Y6</f>
        <v>76104.572542453519</v>
      </c>
      <c r="Z20" s="41">
        <f>'Zbozi tuz'!Z6</f>
        <v>63966.827170299221</v>
      </c>
      <c r="AA20" s="41">
        <f>'Zbozi tuz'!AA6</f>
        <v>74484.372380997462</v>
      </c>
      <c r="AB20" s="41">
        <f>'Zbozi tuz'!AB6</f>
        <v>90734.798026585951</v>
      </c>
      <c r="AC20" s="41">
        <f>'Zbozi tuz'!AC6</f>
        <v>85935.230973786325</v>
      </c>
      <c r="AD20" s="41">
        <f>'Zbozi tuz'!AD6</f>
        <v>86801.703999999998</v>
      </c>
      <c r="AE20" s="41">
        <f>'Zbozi tuz'!AE6</f>
        <v>43568.902300000009</v>
      </c>
      <c r="AF20" s="41">
        <f>'Zbozi tuz'!AF6</f>
        <v>39992.695050000002</v>
      </c>
      <c r="AG20" s="41">
        <f t="shared" si="1"/>
        <v>708037.79163441306</v>
      </c>
    </row>
    <row r="21" spans="1:43" s="100" customFormat="1">
      <c r="A21" s="209">
        <v>9100</v>
      </c>
      <c r="B21" s="209" t="s">
        <v>61</v>
      </c>
      <c r="C21" s="124">
        <f t="shared" ref="C21:F21" si="12">SUM(C14,C18,C19,C20)</f>
        <v>10843037.781666629</v>
      </c>
      <c r="D21" s="124">
        <f t="shared" si="12"/>
        <v>12347733.208872221</v>
      </c>
      <c r="E21" s="124">
        <f t="shared" si="12"/>
        <v>13526473.554844443</v>
      </c>
      <c r="F21" s="124">
        <f t="shared" si="12"/>
        <v>8</v>
      </c>
      <c r="G21" s="124">
        <f t="shared" ref="G21:R21" si="13">SUM(G14,G18,G19,G20)</f>
        <v>664689.59686098993</v>
      </c>
      <c r="H21" s="124">
        <f t="shared" si="13"/>
        <v>797466.23494754231</v>
      </c>
      <c r="I21" s="124">
        <f t="shared" si="13"/>
        <v>1359567.5727488252</v>
      </c>
      <c r="J21" s="124">
        <f t="shared" si="13"/>
        <v>1727637.2977221138</v>
      </c>
      <c r="K21" s="124">
        <f t="shared" si="13"/>
        <v>1437073.3739593071</v>
      </c>
      <c r="L21" s="124">
        <f t="shared" si="13"/>
        <v>1510613.0365750147</v>
      </c>
      <c r="M21" s="124">
        <f t="shared" si="13"/>
        <v>1188489.4733732676</v>
      </c>
      <c r="N21" s="124">
        <f t="shared" si="13"/>
        <v>1677477.5485904096</v>
      </c>
      <c r="O21" s="124">
        <f t="shared" si="13"/>
        <v>1317839.8045030083</v>
      </c>
      <c r="P21" s="124">
        <f t="shared" si="13"/>
        <v>1319006.2883889498</v>
      </c>
      <c r="Q21" s="124">
        <f t="shared" si="13"/>
        <v>974506.12836239743</v>
      </c>
      <c r="R21" s="124">
        <f t="shared" si="13"/>
        <v>837428.74232400442</v>
      </c>
      <c r="S21" s="124">
        <f t="shared" si="0"/>
        <v>14811795.098355826</v>
      </c>
      <c r="U21" s="124">
        <f t="shared" ref="U21:AF21" si="14">SUM(U14,U18,U19,U20)</f>
        <v>942164.25906111032</v>
      </c>
      <c r="V21" s="124">
        <f t="shared" si="14"/>
        <v>945197.71320633322</v>
      </c>
      <c r="W21" s="124">
        <f t="shared" si="14"/>
        <v>1489067.0982348809</v>
      </c>
      <c r="X21" s="124">
        <f t="shared" si="14"/>
        <v>1214282.3630536324</v>
      </c>
      <c r="Y21" s="124">
        <f t="shared" si="14"/>
        <v>1430538.7411091197</v>
      </c>
      <c r="Z21" s="124">
        <f t="shared" si="14"/>
        <v>2424995.2567036329</v>
      </c>
      <c r="AA21" s="124">
        <f t="shared" si="14"/>
        <v>1239706.8451476642</v>
      </c>
      <c r="AB21" s="124">
        <f t="shared" si="14"/>
        <v>1288753.3695932522</v>
      </c>
      <c r="AC21" s="124">
        <f t="shared" si="14"/>
        <v>1191878.2847071197</v>
      </c>
      <c r="AD21" s="124">
        <f t="shared" si="14"/>
        <v>1343287.7422666664</v>
      </c>
      <c r="AE21" s="124">
        <f t="shared" si="14"/>
        <v>1193548.2573999998</v>
      </c>
      <c r="AF21" s="124">
        <f t="shared" si="14"/>
        <v>950316.96988333354</v>
      </c>
      <c r="AG21" s="124">
        <f>SUM(U21:AF21)</f>
        <v>15653736.900366744</v>
      </c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</row>
    <row r="22" spans="1:43" s="97" customFormat="1" ht="21.95" customHeight="1" outlineLevel="1">
      <c r="A22" s="42">
        <v>9210</v>
      </c>
      <c r="B22" s="43" t="s">
        <v>95</v>
      </c>
      <c r="C22" s="51">
        <f t="shared" ref="C22:F22" si="15">C5-C14</f>
        <v>915131.89583333721</v>
      </c>
      <c r="D22" s="51">
        <f t="shared" si="15"/>
        <v>978269.83444444602</v>
      </c>
      <c r="E22" s="51">
        <f t="shared" si="15"/>
        <v>1620462.8172222227</v>
      </c>
      <c r="F22" s="51">
        <f t="shared" si="15"/>
        <v>-6</v>
      </c>
      <c r="G22" s="51">
        <f t="shared" ref="G22:R22" si="16">G5-G14</f>
        <v>25322.35633333333</v>
      </c>
      <c r="H22" s="51">
        <f t="shared" si="16"/>
        <v>31615.747999999992</v>
      </c>
      <c r="I22" s="51">
        <f t="shared" si="16"/>
        <v>87621.989500000025</v>
      </c>
      <c r="J22" s="51">
        <f t="shared" si="16"/>
        <v>306995.94933333329</v>
      </c>
      <c r="K22" s="51">
        <f t="shared" si="16"/>
        <v>59127.459000000032</v>
      </c>
      <c r="L22" s="51">
        <f t="shared" si="16"/>
        <v>110487.413</v>
      </c>
      <c r="M22" s="51">
        <f t="shared" si="16"/>
        <v>72165.797833333141</v>
      </c>
      <c r="N22" s="51">
        <f t="shared" si="16"/>
        <v>126478.23083333333</v>
      </c>
      <c r="O22" s="51">
        <f t="shared" si="16"/>
        <v>83142.540166666848</v>
      </c>
      <c r="P22" s="51">
        <f t="shared" si="16"/>
        <v>74360.407666666782</v>
      </c>
      <c r="Q22" s="51">
        <f t="shared" si="16"/>
        <v>57357.341666666762</v>
      </c>
      <c r="R22" s="51">
        <f t="shared" si="16"/>
        <v>68524.702833333373</v>
      </c>
      <c r="S22" s="51">
        <f t="shared" si="0"/>
        <v>1103199.9361666669</v>
      </c>
      <c r="U22" s="51">
        <f t="shared" ref="U22:AF22" si="17">U5-U14</f>
        <v>-221290.85000000003</v>
      </c>
      <c r="V22" s="51">
        <f t="shared" si="17"/>
        <v>-220740.85000000003</v>
      </c>
      <c r="W22" s="51">
        <f t="shared" si="17"/>
        <v>418984.14999999991</v>
      </c>
      <c r="X22" s="51">
        <f t="shared" si="17"/>
        <v>-220740.85000000003</v>
      </c>
      <c r="Y22" s="51">
        <f t="shared" si="17"/>
        <v>-221015.85000000003</v>
      </c>
      <c r="Z22" s="51">
        <f t="shared" si="17"/>
        <v>1890984.15</v>
      </c>
      <c r="AA22" s="51">
        <f t="shared" si="17"/>
        <v>-220740.85000000003</v>
      </c>
      <c r="AB22" s="51">
        <f t="shared" si="17"/>
        <v>-221565.85000000003</v>
      </c>
      <c r="AC22" s="51">
        <f t="shared" si="17"/>
        <v>-220465.85000000003</v>
      </c>
      <c r="AD22" s="51">
        <f t="shared" si="17"/>
        <v>98434.149999999965</v>
      </c>
      <c r="AE22" s="51">
        <f t="shared" si="17"/>
        <v>98709.149999999965</v>
      </c>
      <c r="AF22" s="51">
        <f t="shared" si="17"/>
        <v>-220190.85000000003</v>
      </c>
      <c r="AG22" s="51">
        <f t="shared" si="1"/>
        <v>740359.79999999912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outlineLevel="1">
      <c r="A23" s="42">
        <v>9220</v>
      </c>
      <c r="B23" s="43" t="s">
        <v>8</v>
      </c>
      <c r="C23" s="51">
        <f t="shared" ref="C23:F23" si="18">C6-C18</f>
        <v>5055336.0558332996</v>
      </c>
      <c r="D23" s="51">
        <f t="shared" si="18"/>
        <v>5153410.7883499991</v>
      </c>
      <c r="E23" s="51">
        <f t="shared" si="18"/>
        <v>5396265.8045999995</v>
      </c>
      <c r="F23" s="51">
        <f t="shared" si="18"/>
        <v>-2</v>
      </c>
      <c r="G23" s="51">
        <f t="shared" ref="G23:R25" si="19">G6-G18</f>
        <v>410769.41210372333</v>
      </c>
      <c r="H23" s="51">
        <f t="shared" si="19"/>
        <v>425319.44138714019</v>
      </c>
      <c r="I23" s="51">
        <f t="shared" si="19"/>
        <v>575184.289229949</v>
      </c>
      <c r="J23" s="51">
        <f t="shared" si="19"/>
        <v>452352.39020862291</v>
      </c>
      <c r="K23" s="51">
        <f t="shared" si="19"/>
        <v>450848.68364096468</v>
      </c>
      <c r="L23" s="51">
        <f t="shared" si="19"/>
        <v>524978.24735126749</v>
      </c>
      <c r="M23" s="51">
        <f t="shared" si="19"/>
        <v>440171.80541558447</v>
      </c>
      <c r="N23" s="51">
        <f t="shared" si="19"/>
        <v>603946.82845906715</v>
      </c>
      <c r="O23" s="51">
        <f t="shared" si="19"/>
        <v>605335.05767432984</v>
      </c>
      <c r="P23" s="51">
        <f t="shared" si="19"/>
        <v>527020.95373893657</v>
      </c>
      <c r="Q23" s="51">
        <f t="shared" si="19"/>
        <v>483710.88707521686</v>
      </c>
      <c r="R23" s="51">
        <f t="shared" si="19"/>
        <v>461627.1495581459</v>
      </c>
      <c r="S23" s="51">
        <f t="shared" si="0"/>
        <v>5961265.1458429471</v>
      </c>
      <c r="U23" s="51">
        <f t="shared" ref="U23:AF25" si="20">U6-U18</f>
        <v>-643045.4795035267</v>
      </c>
      <c r="V23" s="51">
        <f t="shared" si="20"/>
        <v>-446309.17535094114</v>
      </c>
      <c r="W23" s="51">
        <f t="shared" si="20"/>
        <v>1287799.2428732277</v>
      </c>
      <c r="X23" s="51">
        <f t="shared" si="20"/>
        <v>-226554.7109153273</v>
      </c>
      <c r="Y23" s="51">
        <f t="shared" si="20"/>
        <v>-100226.63680246216</v>
      </c>
      <c r="Z23" s="51">
        <f t="shared" si="20"/>
        <v>858980.71731600689</v>
      </c>
      <c r="AA23" s="51">
        <f t="shared" si="20"/>
        <v>-221433.78369007341</v>
      </c>
      <c r="AB23" s="51">
        <f t="shared" si="20"/>
        <v>2155490.364555893</v>
      </c>
      <c r="AC23" s="51">
        <f t="shared" si="20"/>
        <v>2229265.8561450751</v>
      </c>
      <c r="AD23" s="51">
        <f t="shared" si="20"/>
        <v>1120685.6964972545</v>
      </c>
      <c r="AE23" s="51">
        <f t="shared" si="20"/>
        <v>433828.19671534968</v>
      </c>
      <c r="AF23" s="51">
        <f t="shared" si="20"/>
        <v>86547.552060819231</v>
      </c>
      <c r="AG23" s="51">
        <f t="shared" si="1"/>
        <v>6535027.8399012955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outlineLevel="1">
      <c r="A24" s="42">
        <v>9230</v>
      </c>
      <c r="B24" s="43" t="s">
        <v>472</v>
      </c>
      <c r="C24" s="51">
        <f t="shared" ref="C24:F24" si="21">C7-C19</f>
        <v>1340508.4766666666</v>
      </c>
      <c r="D24" s="51">
        <f t="shared" si="21"/>
        <v>1628783.0233333334</v>
      </c>
      <c r="E24" s="51">
        <f t="shared" si="21"/>
        <v>1561959.0733333337</v>
      </c>
      <c r="F24" s="51">
        <f t="shared" si="21"/>
        <v>0</v>
      </c>
      <c r="G24" s="51">
        <f t="shared" si="19"/>
        <v>31443.733333333337</v>
      </c>
      <c r="H24" s="51">
        <f t="shared" si="19"/>
        <v>37761.902126999994</v>
      </c>
      <c r="I24" s="51">
        <f t="shared" si="19"/>
        <v>130029.42852699998</v>
      </c>
      <c r="J24" s="51">
        <f t="shared" si="19"/>
        <v>177123.76643033337</v>
      </c>
      <c r="K24" s="51">
        <f t="shared" si="19"/>
        <v>245190.02643333323</v>
      </c>
      <c r="L24" s="51">
        <f t="shared" si="19"/>
        <v>187084.89713333349</v>
      </c>
      <c r="M24" s="51">
        <f t="shared" si="19"/>
        <v>182873.66556666663</v>
      </c>
      <c r="N24" s="51">
        <f t="shared" si="19"/>
        <v>201255.30676666647</v>
      </c>
      <c r="O24" s="51">
        <f t="shared" si="19"/>
        <v>147114.1829333333</v>
      </c>
      <c r="P24" s="51">
        <f t="shared" si="19"/>
        <v>126767.62506666657</v>
      </c>
      <c r="Q24" s="51">
        <f t="shared" si="19"/>
        <v>62062.399899999946</v>
      </c>
      <c r="R24" s="51">
        <f t="shared" si="19"/>
        <v>27791.86683333353</v>
      </c>
      <c r="S24" s="51">
        <f t="shared" si="0"/>
        <v>1556498.8010509999</v>
      </c>
      <c r="U24" s="51">
        <f t="shared" si="20"/>
        <v>31443.733333333337</v>
      </c>
      <c r="V24" s="51">
        <f t="shared" si="20"/>
        <v>37761.902126999994</v>
      </c>
      <c r="W24" s="51">
        <f t="shared" si="20"/>
        <v>130029.42852699998</v>
      </c>
      <c r="X24" s="51">
        <f t="shared" si="20"/>
        <v>177123.76643033337</v>
      </c>
      <c r="Y24" s="51">
        <f t="shared" si="20"/>
        <v>298269.05976666656</v>
      </c>
      <c r="Z24" s="51">
        <f t="shared" si="20"/>
        <v>187084.89713333349</v>
      </c>
      <c r="AA24" s="51">
        <f t="shared" si="20"/>
        <v>182873.66556666663</v>
      </c>
      <c r="AB24" s="51">
        <f t="shared" si="20"/>
        <v>201255.30676666647</v>
      </c>
      <c r="AC24" s="51">
        <f t="shared" si="20"/>
        <v>147114.1829333333</v>
      </c>
      <c r="AD24" s="51">
        <f t="shared" si="20"/>
        <v>126767.62506666657</v>
      </c>
      <c r="AE24" s="51">
        <f t="shared" si="20"/>
        <v>62062.399899999946</v>
      </c>
      <c r="AF24" s="51">
        <f t="shared" si="20"/>
        <v>27791.866833333523</v>
      </c>
      <c r="AG24" s="51">
        <f t="shared" si="1"/>
        <v>1609577.8343843333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outlineLevel="1">
      <c r="A25" s="42">
        <v>9240</v>
      </c>
      <c r="B25" s="43" t="s">
        <v>473</v>
      </c>
      <c r="C25" s="51">
        <f t="shared" ref="C25:F25" si="22">C8-C20</f>
        <v>108209.80333333323</v>
      </c>
      <c r="D25" s="51">
        <f t="shared" si="22"/>
        <v>135009.90666666668</v>
      </c>
      <c r="E25" s="51">
        <f t="shared" si="22"/>
        <v>115315.46499999991</v>
      </c>
      <c r="F25" s="51">
        <f t="shared" si="22"/>
        <v>0</v>
      </c>
      <c r="G25" s="51">
        <f t="shared" si="19"/>
        <v>4624.1828915504993</v>
      </c>
      <c r="H25" s="51">
        <f t="shared" si="19"/>
        <v>3495.3459166666689</v>
      </c>
      <c r="I25" s="51">
        <f t="shared" si="19"/>
        <v>10260.391792407587</v>
      </c>
      <c r="J25" s="51">
        <f t="shared" si="19"/>
        <v>12205.186478428586</v>
      </c>
      <c r="K25" s="51">
        <f t="shared" si="19"/>
        <v>15894.075346704049</v>
      </c>
      <c r="L25" s="51">
        <f t="shared" si="19"/>
        <v>13359.165379546524</v>
      </c>
      <c r="M25" s="51">
        <f t="shared" si="19"/>
        <v>15555.704305613719</v>
      </c>
      <c r="N25" s="51">
        <f t="shared" si="19"/>
        <v>18949.527843390184</v>
      </c>
      <c r="O25" s="51">
        <f t="shared" si="19"/>
        <v>17947.161259881672</v>
      </c>
      <c r="P25" s="51">
        <f t="shared" si="19"/>
        <v>18128.12000000001</v>
      </c>
      <c r="Q25" s="51">
        <f t="shared" si="19"/>
        <v>9099.1565000000046</v>
      </c>
      <c r="R25" s="51">
        <f t="shared" si="19"/>
        <v>8352.2827500000058</v>
      </c>
      <c r="S25" s="51">
        <f t="shared" si="0"/>
        <v>147870.30046418952</v>
      </c>
      <c r="U25" s="51">
        <f t="shared" si="20"/>
        <v>5059.4001048729006</v>
      </c>
      <c r="V25" s="51">
        <f t="shared" si="20"/>
        <v>3824.3196500000013</v>
      </c>
      <c r="W25" s="51">
        <f t="shared" si="20"/>
        <v>11226.075725810653</v>
      </c>
      <c r="X25" s="51">
        <f t="shared" si="20"/>
        <v>13353.909911692455</v>
      </c>
      <c r="Y25" s="51">
        <f t="shared" si="20"/>
        <v>17389.988320511489</v>
      </c>
      <c r="Z25" s="51">
        <f t="shared" si="20"/>
        <v>14616.498591739131</v>
      </c>
      <c r="AA25" s="51">
        <f t="shared" si="20"/>
        <v>17019.770593200898</v>
      </c>
      <c r="AB25" s="51">
        <f t="shared" si="20"/>
        <v>20733.012816885734</v>
      </c>
      <c r="AC25" s="51">
        <f t="shared" si="20"/>
        <v>19636.305849046999</v>
      </c>
      <c r="AD25" s="51">
        <f t="shared" si="20"/>
        <v>19834.296000000002</v>
      </c>
      <c r="AE25" s="51">
        <f t="shared" si="20"/>
        <v>9955.5477000000028</v>
      </c>
      <c r="AF25" s="51">
        <f t="shared" si="20"/>
        <v>9138.3799500000023</v>
      </c>
      <c r="AG25" s="51">
        <f t="shared" si="1"/>
        <v>161787.50521376028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outlineLevel="1">
      <c r="A26" s="42">
        <v>9250</v>
      </c>
      <c r="B26" s="43" t="s">
        <v>170</v>
      </c>
      <c r="C26" s="51">
        <f t="shared" ref="C26:F26" si="23">C9</f>
        <v>167651.14000000001</v>
      </c>
      <c r="D26" s="51">
        <f t="shared" si="23"/>
        <v>136331.57500000001</v>
      </c>
      <c r="E26" s="51">
        <f t="shared" si="23"/>
        <v>83023.403333333335</v>
      </c>
      <c r="F26" s="51">
        <f t="shared" si="23"/>
        <v>0</v>
      </c>
      <c r="G26" s="51">
        <f t="shared" ref="G26:R26" si="24">G9</f>
        <v>71023.666666666657</v>
      </c>
      <c r="H26" s="51">
        <f t="shared" si="24"/>
        <v>71023.666666666657</v>
      </c>
      <c r="I26" s="51">
        <f t="shared" si="24"/>
        <v>83023.666666666657</v>
      </c>
      <c r="J26" s="51">
        <f t="shared" si="24"/>
        <v>83023.666666666657</v>
      </c>
      <c r="K26" s="51">
        <f t="shared" si="24"/>
        <v>83023.666666666657</v>
      </c>
      <c r="L26" s="51">
        <f t="shared" si="24"/>
        <v>83023.666666666657</v>
      </c>
      <c r="M26" s="51">
        <f t="shared" si="24"/>
        <v>57436.666666666664</v>
      </c>
      <c r="N26" s="51">
        <f t="shared" si="24"/>
        <v>57436.666666666664</v>
      </c>
      <c r="O26" s="51">
        <f t="shared" si="24"/>
        <v>57436.666666666664</v>
      </c>
      <c r="P26" s="51">
        <f t="shared" si="24"/>
        <v>57436.666666666664</v>
      </c>
      <c r="Q26" s="51">
        <f t="shared" si="24"/>
        <v>57436.666666666664</v>
      </c>
      <c r="R26" s="51">
        <f t="shared" si="24"/>
        <v>57436.666666666664</v>
      </c>
      <c r="S26" s="51">
        <f t="shared" ref="S26" si="25">SUM(G26:R26)</f>
        <v>818761.99999999965</v>
      </c>
      <c r="U26" s="51">
        <f t="shared" ref="U26:AF26" si="26">U9</f>
        <v>57436.666666666664</v>
      </c>
      <c r="V26" s="51">
        <f t="shared" si="26"/>
        <v>57436.666666666664</v>
      </c>
      <c r="W26" s="51">
        <f t="shared" si="26"/>
        <v>57436.666666666664</v>
      </c>
      <c r="X26" s="51">
        <f t="shared" si="26"/>
        <v>57436.666666666664</v>
      </c>
      <c r="Y26" s="51">
        <f t="shared" si="26"/>
        <v>46836.666666666664</v>
      </c>
      <c r="Z26" s="51">
        <f t="shared" si="26"/>
        <v>46836.666666666664</v>
      </c>
      <c r="AA26" s="51">
        <f t="shared" si="26"/>
        <v>46836.666666666664</v>
      </c>
      <c r="AB26" s="51">
        <f t="shared" si="26"/>
        <v>46836.666666666664</v>
      </c>
      <c r="AC26" s="51">
        <f t="shared" si="26"/>
        <v>46836.666666666664</v>
      </c>
      <c r="AD26" s="51">
        <f t="shared" si="26"/>
        <v>46836.666666666664</v>
      </c>
      <c r="AE26" s="51">
        <f t="shared" si="26"/>
        <v>46836.666666666664</v>
      </c>
      <c r="AF26" s="51">
        <f t="shared" si="26"/>
        <v>46836.666666666664</v>
      </c>
      <c r="AG26" s="51">
        <f t="shared" ref="AG26" si="27">SUM(U26:AF26)</f>
        <v>604440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>
      <c r="A27" s="42">
        <v>9200</v>
      </c>
      <c r="B27" s="52" t="s">
        <v>2</v>
      </c>
      <c r="C27" s="53">
        <f t="shared" ref="C27:F27" si="28">C10-C21</f>
        <v>7586837.3716666363</v>
      </c>
      <c r="D27" s="53">
        <f t="shared" si="28"/>
        <v>8031805.1277944446</v>
      </c>
      <c r="E27" s="53">
        <f t="shared" si="28"/>
        <v>8777026.5634888895</v>
      </c>
      <c r="F27" s="53">
        <f t="shared" si="28"/>
        <v>-8</v>
      </c>
      <c r="G27" s="53">
        <f t="shared" ref="G27:R27" si="29">G10-G21</f>
        <v>543183.35132860742</v>
      </c>
      <c r="H27" s="53">
        <f t="shared" si="29"/>
        <v>569216.10409747378</v>
      </c>
      <c r="I27" s="53">
        <f t="shared" si="29"/>
        <v>886119.76571602351</v>
      </c>
      <c r="J27" s="53">
        <f t="shared" si="29"/>
        <v>1031700.9591173842</v>
      </c>
      <c r="K27" s="53">
        <f t="shared" si="29"/>
        <v>854083.9110876685</v>
      </c>
      <c r="L27" s="53">
        <f t="shared" si="29"/>
        <v>918933.38953081379</v>
      </c>
      <c r="M27" s="53">
        <f t="shared" si="29"/>
        <v>768203.63978786487</v>
      </c>
      <c r="N27" s="53">
        <f t="shared" si="29"/>
        <v>1008066.5605691234</v>
      </c>
      <c r="O27" s="53">
        <f t="shared" si="29"/>
        <v>910975.60870087799</v>
      </c>
      <c r="P27" s="53">
        <f t="shared" si="29"/>
        <v>803713.77313893661</v>
      </c>
      <c r="Q27" s="53">
        <f t="shared" si="29"/>
        <v>669666.45180855016</v>
      </c>
      <c r="R27" s="53">
        <f t="shared" si="29"/>
        <v>623732.66864147945</v>
      </c>
      <c r="S27" s="53">
        <f t="shared" si="0"/>
        <v>9587596.1835248042</v>
      </c>
      <c r="U27" s="53">
        <f t="shared" ref="U27:AF27" si="30">U10-U21</f>
        <v>-770396.52939865377</v>
      </c>
      <c r="V27" s="53">
        <f t="shared" si="30"/>
        <v>-568027.13690727437</v>
      </c>
      <c r="W27" s="53">
        <f t="shared" si="30"/>
        <v>1905475.5637927053</v>
      </c>
      <c r="X27" s="53">
        <f t="shared" si="30"/>
        <v>-199381.21790663479</v>
      </c>
      <c r="Y27" s="53">
        <f t="shared" si="30"/>
        <v>41253.227951382753</v>
      </c>
      <c r="Z27" s="53">
        <f t="shared" si="30"/>
        <v>2998502.929707746</v>
      </c>
      <c r="AA27" s="53">
        <f t="shared" si="30"/>
        <v>-195444.53086353943</v>
      </c>
      <c r="AB27" s="53">
        <f t="shared" si="30"/>
        <v>2202749.5008061118</v>
      </c>
      <c r="AC27" s="53">
        <f t="shared" si="30"/>
        <v>2222387.1615941213</v>
      </c>
      <c r="AD27" s="53">
        <f t="shared" si="30"/>
        <v>1412558.4342305881</v>
      </c>
      <c r="AE27" s="53">
        <f t="shared" si="30"/>
        <v>651391.96098201652</v>
      </c>
      <c r="AF27" s="53">
        <f t="shared" si="30"/>
        <v>-49876.384489180637</v>
      </c>
      <c r="AG27" s="53">
        <f t="shared" si="1"/>
        <v>9651192.9794993903</v>
      </c>
      <c r="AH27" s="397">
        <f t="shared" ref="AH27" si="31">AG27/S27-1</f>
        <v>6.6332368152790533E-3</v>
      </c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t="26.1" customHeight="1" outlineLevel="1">
      <c r="A28" s="79">
        <v>9291</v>
      </c>
      <c r="B28" s="118" t="s">
        <v>97</v>
      </c>
      <c r="C28" s="119">
        <f t="shared" ref="C28:G28" si="32">IF(C5=0,0,C22/C5)</f>
        <v>0.22596685738468761</v>
      </c>
      <c r="D28" s="119">
        <f t="shared" si="32"/>
        <v>0.21935535242133303</v>
      </c>
      <c r="E28" s="119">
        <f t="shared" si="32"/>
        <v>0.30586186959557388</v>
      </c>
      <c r="F28" s="119">
        <f t="shared" si="32"/>
        <v>0</v>
      </c>
      <c r="G28" s="119">
        <f t="shared" si="32"/>
        <v>0.27130700738360664</v>
      </c>
      <c r="H28" s="119">
        <f t="shared" ref="H28:R31" si="33">IF(H5=0,0,H22/H5)</f>
        <v>0.15120691976129874</v>
      </c>
      <c r="I28" s="119">
        <f t="shared" si="33"/>
        <v>0.19347356165533816</v>
      </c>
      <c r="J28" s="119">
        <f t="shared" si="33"/>
        <v>0.27649058129162113</v>
      </c>
      <c r="K28" s="119">
        <f t="shared" si="33"/>
        <v>0.13294656454656589</v>
      </c>
      <c r="L28" s="119">
        <f t="shared" si="33"/>
        <v>0.18968500364302499</v>
      </c>
      <c r="M28" s="119">
        <f t="shared" si="33"/>
        <v>0.22128917943343845</v>
      </c>
      <c r="N28" s="119">
        <f t="shared" si="33"/>
        <v>0.20585181323932825</v>
      </c>
      <c r="O28" s="119">
        <f t="shared" si="33"/>
        <v>0.27448557769654824</v>
      </c>
      <c r="P28" s="119">
        <f t="shared" si="33"/>
        <v>0.17403468735395297</v>
      </c>
      <c r="Q28" s="119">
        <f t="shared" si="33"/>
        <v>0.21200553620308937</v>
      </c>
      <c r="R28" s="119">
        <f t="shared" si="33"/>
        <v>0.294977857337127</v>
      </c>
      <c r="S28" s="119">
        <f>IF(S5=0,0,S22/S5)</f>
        <v>0.21774723130614393</v>
      </c>
      <c r="T28" s="102"/>
      <c r="U28" s="119">
        <f t="shared" ref="U28:AF31" si="34">IF(U5=0,0,U22/U5)</f>
        <v>0</v>
      </c>
      <c r="V28" s="119">
        <f t="shared" si="34"/>
        <v>0</v>
      </c>
      <c r="W28" s="119">
        <f t="shared" si="34"/>
        <v>0.41898414999999989</v>
      </c>
      <c r="X28" s="119">
        <f t="shared" si="34"/>
        <v>0</v>
      </c>
      <c r="Y28" s="119">
        <f t="shared" si="34"/>
        <v>0</v>
      </c>
      <c r="Z28" s="119">
        <f t="shared" si="34"/>
        <v>0.57302549999999997</v>
      </c>
      <c r="AA28" s="119">
        <f t="shared" si="34"/>
        <v>0</v>
      </c>
      <c r="AB28" s="119">
        <f t="shared" si="34"/>
        <v>0</v>
      </c>
      <c r="AC28" s="119">
        <f t="shared" si="34"/>
        <v>0</v>
      </c>
      <c r="AD28" s="119">
        <f t="shared" si="34"/>
        <v>0.19686829999999994</v>
      </c>
      <c r="AE28" s="119">
        <f t="shared" si="34"/>
        <v>0.19741829999999994</v>
      </c>
      <c r="AF28" s="119">
        <f t="shared" si="34"/>
        <v>0</v>
      </c>
      <c r="AG28" s="119">
        <f>IF(AG5=0,0,AG22/AG5)</f>
        <v>0.13969052830188664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outlineLevel="1">
      <c r="A29" s="79">
        <v>9292</v>
      </c>
      <c r="B29" s="118" t="s">
        <v>6</v>
      </c>
      <c r="C29" s="119">
        <f t="shared" ref="C29:G29" si="35">IF(C6=0,0,C23/C6)</f>
        <v>0.5</v>
      </c>
      <c r="D29" s="119">
        <f t="shared" si="35"/>
        <v>0.46999999999999992</v>
      </c>
      <c r="E29" s="119">
        <f t="shared" si="35"/>
        <v>0.43999999999999995</v>
      </c>
      <c r="F29" s="119">
        <f t="shared" si="35"/>
        <v>0</v>
      </c>
      <c r="G29" s="119">
        <f t="shared" si="35"/>
        <v>0.43999999999999995</v>
      </c>
      <c r="H29" s="119">
        <f t="shared" si="33"/>
        <v>0.43999999999999989</v>
      </c>
      <c r="I29" s="119">
        <f t="shared" si="33"/>
        <v>0.43999999999999995</v>
      </c>
      <c r="J29" s="119">
        <f t="shared" si="33"/>
        <v>0.43999999999999989</v>
      </c>
      <c r="K29" s="119">
        <f t="shared" si="33"/>
        <v>0.44</v>
      </c>
      <c r="L29" s="119">
        <f t="shared" si="33"/>
        <v>0.43999999999999995</v>
      </c>
      <c r="M29" s="119">
        <f t="shared" si="33"/>
        <v>0.43999999999999989</v>
      </c>
      <c r="N29" s="119">
        <f t="shared" si="33"/>
        <v>0.43999999999999995</v>
      </c>
      <c r="O29" s="119">
        <f t="shared" si="33"/>
        <v>0.44</v>
      </c>
      <c r="P29" s="119">
        <f t="shared" si="33"/>
        <v>0.43999999999999995</v>
      </c>
      <c r="Q29" s="119">
        <f t="shared" si="33"/>
        <v>0.43999999999999995</v>
      </c>
      <c r="R29" s="119">
        <f t="shared" si="33"/>
        <v>0.44</v>
      </c>
      <c r="S29" s="119">
        <f>IF(S6=0,0,S23/S6)</f>
        <v>0.43999999999999984</v>
      </c>
      <c r="T29" s="102"/>
      <c r="U29" s="119">
        <f t="shared" si="34"/>
        <v>-146.70282038945427</v>
      </c>
      <c r="V29" s="119">
        <f t="shared" si="34"/>
        <v>-2.2337838528719356</v>
      </c>
      <c r="W29" s="119">
        <f t="shared" si="34"/>
        <v>0.66567792620030231</v>
      </c>
      <c r="X29" s="119">
        <f t="shared" si="34"/>
        <v>-0.5399892810235607</v>
      </c>
      <c r="Y29" s="119">
        <f t="shared" si="34"/>
        <v>-0.18338317434850321</v>
      </c>
      <c r="Z29" s="119">
        <f t="shared" si="34"/>
        <v>0.57046720416496433</v>
      </c>
      <c r="AA29" s="119">
        <f t="shared" si="34"/>
        <v>-0.52141937996294019</v>
      </c>
      <c r="AB29" s="119">
        <f t="shared" si="34"/>
        <v>0.76883520601328847</v>
      </c>
      <c r="AC29" s="119">
        <f t="shared" si="34"/>
        <v>0.77547378533021727</v>
      </c>
      <c r="AD29" s="119">
        <f t="shared" si="34"/>
        <v>0.63359444559867562</v>
      </c>
      <c r="AE29" s="119">
        <f t="shared" si="34"/>
        <v>0.4012257937134614</v>
      </c>
      <c r="AF29" s="119">
        <f t="shared" si="34"/>
        <v>0.11834165198672059</v>
      </c>
      <c r="AG29" s="119">
        <f>IF(AG6=0,0,AG23/AG6)</f>
        <v>0.45715692677939596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outlineLevel="1">
      <c r="A30" s="79">
        <v>9293</v>
      </c>
      <c r="B30" s="118" t="s">
        <v>474</v>
      </c>
      <c r="C30" s="119">
        <f t="shared" ref="C30:G30" si="36">IF(C7=0,0,C24/C7)</f>
        <v>0.39183645119843297</v>
      </c>
      <c r="D30" s="119">
        <f t="shared" si="36"/>
        <v>0.38966794375278707</v>
      </c>
      <c r="E30" s="119">
        <f t="shared" si="36"/>
        <v>0.38537907861571047</v>
      </c>
      <c r="F30" s="119">
        <f t="shared" si="36"/>
        <v>0</v>
      </c>
      <c r="G30" s="119">
        <f t="shared" si="36"/>
        <v>0.38</v>
      </c>
      <c r="H30" s="119">
        <f t="shared" si="33"/>
        <v>0.38</v>
      </c>
      <c r="I30" s="119">
        <f t="shared" si="33"/>
        <v>0.38</v>
      </c>
      <c r="J30" s="119">
        <f t="shared" si="33"/>
        <v>0.38</v>
      </c>
      <c r="K30" s="119">
        <f t="shared" si="33"/>
        <v>0.38</v>
      </c>
      <c r="L30" s="119">
        <f t="shared" si="33"/>
        <v>0.38</v>
      </c>
      <c r="M30" s="119">
        <f t="shared" si="33"/>
        <v>0.37999999999999995</v>
      </c>
      <c r="N30" s="119">
        <f t="shared" si="33"/>
        <v>0.38</v>
      </c>
      <c r="O30" s="119">
        <f t="shared" si="33"/>
        <v>0.38</v>
      </c>
      <c r="P30" s="119">
        <f t="shared" si="33"/>
        <v>0.38</v>
      </c>
      <c r="Q30" s="119">
        <f t="shared" si="33"/>
        <v>0.38</v>
      </c>
      <c r="R30" s="119">
        <f t="shared" si="33"/>
        <v>0.38</v>
      </c>
      <c r="S30" s="119">
        <f>IF(S7=0,0,S24/S7)</f>
        <v>0.38</v>
      </c>
      <c r="T30" s="102"/>
      <c r="U30" s="119">
        <f t="shared" si="34"/>
        <v>0.38</v>
      </c>
      <c r="V30" s="119">
        <f t="shared" si="34"/>
        <v>0.38</v>
      </c>
      <c r="W30" s="119">
        <f t="shared" si="34"/>
        <v>0.38</v>
      </c>
      <c r="X30" s="119">
        <f t="shared" si="34"/>
        <v>0.38</v>
      </c>
      <c r="Y30" s="119">
        <f t="shared" si="34"/>
        <v>0.38</v>
      </c>
      <c r="Z30" s="119">
        <f t="shared" si="34"/>
        <v>0.38</v>
      </c>
      <c r="AA30" s="119">
        <f t="shared" si="34"/>
        <v>0.37999999999999995</v>
      </c>
      <c r="AB30" s="119">
        <f t="shared" si="34"/>
        <v>0.38</v>
      </c>
      <c r="AC30" s="119">
        <f t="shared" si="34"/>
        <v>0.38</v>
      </c>
      <c r="AD30" s="119">
        <f t="shared" si="34"/>
        <v>0.38</v>
      </c>
      <c r="AE30" s="119">
        <f t="shared" si="34"/>
        <v>0.38</v>
      </c>
      <c r="AF30" s="119">
        <f t="shared" si="34"/>
        <v>0.37999999999999995</v>
      </c>
      <c r="AG30" s="119">
        <f>IF(AG7=0,0,AG24/AG7)</f>
        <v>0.38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outlineLevel="1">
      <c r="A31" s="79">
        <v>9294</v>
      </c>
      <c r="B31" s="118" t="s">
        <v>475</v>
      </c>
      <c r="C31" s="119">
        <f t="shared" ref="C31:G31" si="37">IF(C8=0,0,C25/C8)</f>
        <v>0.15898944006607077</v>
      </c>
      <c r="D31" s="119">
        <f t="shared" si="37"/>
        <v>0.2113399172383692</v>
      </c>
      <c r="E31" s="119">
        <f t="shared" si="37"/>
        <v>0.19055093376672713</v>
      </c>
      <c r="F31" s="119">
        <f t="shared" si="37"/>
        <v>0</v>
      </c>
      <c r="G31" s="119">
        <f t="shared" si="37"/>
        <v>0.16999999999999998</v>
      </c>
      <c r="H31" s="119">
        <f t="shared" si="33"/>
        <v>0.17000000000000007</v>
      </c>
      <c r="I31" s="119">
        <f t="shared" si="33"/>
        <v>0.17000000000000004</v>
      </c>
      <c r="J31" s="119">
        <f t="shared" si="33"/>
        <v>0.17</v>
      </c>
      <c r="K31" s="119">
        <f t="shared" si="33"/>
        <v>0.16999999999999996</v>
      </c>
      <c r="L31" s="119">
        <f t="shared" si="33"/>
        <v>0.17000000000000007</v>
      </c>
      <c r="M31" s="119">
        <f t="shared" si="33"/>
        <v>0.16999999999999998</v>
      </c>
      <c r="N31" s="119">
        <f t="shared" si="33"/>
        <v>0.16999999999999998</v>
      </c>
      <c r="O31" s="119">
        <f t="shared" si="33"/>
        <v>0.17000000000000007</v>
      </c>
      <c r="P31" s="119">
        <f t="shared" si="33"/>
        <v>0.1700000000000001</v>
      </c>
      <c r="Q31" s="119">
        <f t="shared" si="33"/>
        <v>0.17000000000000004</v>
      </c>
      <c r="R31" s="119">
        <f t="shared" si="33"/>
        <v>0.1700000000000001</v>
      </c>
      <c r="S31" s="119">
        <f>IF(S8=0,0,S25/S8)</f>
        <v>0.17000000000000004</v>
      </c>
      <c r="T31" s="102"/>
      <c r="U31" s="119">
        <f t="shared" si="34"/>
        <v>0.18600000000000003</v>
      </c>
      <c r="V31" s="119">
        <f t="shared" si="34"/>
        <v>0.18600000000000003</v>
      </c>
      <c r="W31" s="119">
        <f t="shared" si="34"/>
        <v>0.18600000000000003</v>
      </c>
      <c r="X31" s="119">
        <f t="shared" si="34"/>
        <v>0.18600000000000003</v>
      </c>
      <c r="Y31" s="119">
        <f t="shared" si="34"/>
        <v>0.18599999999999997</v>
      </c>
      <c r="Z31" s="119">
        <f t="shared" si="34"/>
        <v>0.18599999999999997</v>
      </c>
      <c r="AA31" s="119">
        <f t="shared" si="34"/>
        <v>0.18600000000000003</v>
      </c>
      <c r="AB31" s="119">
        <f t="shared" si="34"/>
        <v>0.186</v>
      </c>
      <c r="AC31" s="119">
        <f t="shared" si="34"/>
        <v>0.186</v>
      </c>
      <c r="AD31" s="119">
        <f t="shared" si="34"/>
        <v>0.18600000000000003</v>
      </c>
      <c r="AE31" s="119">
        <f t="shared" si="34"/>
        <v>0.186</v>
      </c>
      <c r="AF31" s="119">
        <f t="shared" si="34"/>
        <v>0.18600000000000003</v>
      </c>
      <c r="AG31" s="119">
        <f>IF(AG8=0,0,AG25/AG8)</f>
        <v>0.186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outlineLevel="1">
      <c r="A32" s="79">
        <v>9295</v>
      </c>
      <c r="B32" s="118" t="s">
        <v>172</v>
      </c>
      <c r="C32" s="119">
        <f t="shared" ref="C32:G32" si="38">C26/C9</f>
        <v>1</v>
      </c>
      <c r="D32" s="119">
        <f t="shared" si="38"/>
        <v>1</v>
      </c>
      <c r="E32" s="119">
        <f t="shared" si="38"/>
        <v>1</v>
      </c>
      <c r="F32" s="119" t="e">
        <f t="shared" si="38"/>
        <v>#DIV/0!</v>
      </c>
      <c r="G32" s="119">
        <f t="shared" si="38"/>
        <v>1</v>
      </c>
      <c r="H32" s="119">
        <f t="shared" ref="H32:S33" si="39">H26/H9</f>
        <v>1</v>
      </c>
      <c r="I32" s="119">
        <f t="shared" si="39"/>
        <v>1</v>
      </c>
      <c r="J32" s="119">
        <f t="shared" si="39"/>
        <v>1</v>
      </c>
      <c r="K32" s="119">
        <f t="shared" si="39"/>
        <v>1</v>
      </c>
      <c r="L32" s="119">
        <f t="shared" si="39"/>
        <v>1</v>
      </c>
      <c r="M32" s="119">
        <f t="shared" si="39"/>
        <v>1</v>
      </c>
      <c r="N32" s="119">
        <f t="shared" si="39"/>
        <v>1</v>
      </c>
      <c r="O32" s="119">
        <f t="shared" si="39"/>
        <v>1</v>
      </c>
      <c r="P32" s="119">
        <f t="shared" si="39"/>
        <v>1</v>
      </c>
      <c r="Q32" s="119">
        <f t="shared" si="39"/>
        <v>1</v>
      </c>
      <c r="R32" s="119">
        <f t="shared" si="39"/>
        <v>1</v>
      </c>
      <c r="S32" s="119">
        <f t="shared" si="39"/>
        <v>1</v>
      </c>
      <c r="T32" s="102"/>
      <c r="U32" s="119">
        <f t="shared" ref="U32:AG33" si="40">U26/U9</f>
        <v>1</v>
      </c>
      <c r="V32" s="119">
        <f t="shared" si="40"/>
        <v>1</v>
      </c>
      <c r="W32" s="119">
        <f t="shared" si="40"/>
        <v>1</v>
      </c>
      <c r="X32" s="119">
        <f t="shared" si="40"/>
        <v>1</v>
      </c>
      <c r="Y32" s="119">
        <f t="shared" si="40"/>
        <v>1</v>
      </c>
      <c r="Z32" s="119">
        <f t="shared" si="40"/>
        <v>1</v>
      </c>
      <c r="AA32" s="119">
        <f t="shared" si="40"/>
        <v>1</v>
      </c>
      <c r="AB32" s="119">
        <f t="shared" si="40"/>
        <v>1</v>
      </c>
      <c r="AC32" s="119">
        <f t="shared" si="40"/>
        <v>1</v>
      </c>
      <c r="AD32" s="119">
        <f t="shared" si="40"/>
        <v>1</v>
      </c>
      <c r="AE32" s="119">
        <f t="shared" si="40"/>
        <v>1</v>
      </c>
      <c r="AF32" s="119">
        <f t="shared" si="40"/>
        <v>1</v>
      </c>
      <c r="AG32" s="119">
        <f t="shared" si="40"/>
        <v>1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t="26.1" customHeight="1">
      <c r="A33" s="54">
        <v>9290</v>
      </c>
      <c r="B33" s="55" t="s">
        <v>10</v>
      </c>
      <c r="C33" s="56">
        <f t="shared" ref="C33:G33" si="41">C27/C10</f>
        <v>0.41165972685899965</v>
      </c>
      <c r="D33" s="56">
        <f t="shared" si="41"/>
        <v>0.39411124016208449</v>
      </c>
      <c r="E33" s="56">
        <f t="shared" si="41"/>
        <v>0.39352686873905635</v>
      </c>
      <c r="F33" s="56" t="e">
        <f t="shared" si="41"/>
        <v>#DIV/0!</v>
      </c>
      <c r="G33" s="56">
        <f t="shared" si="41"/>
        <v>0.44970238976106702</v>
      </c>
      <c r="H33" s="56">
        <f t="shared" si="39"/>
        <v>0.41649481217063183</v>
      </c>
      <c r="I33" s="56">
        <f t="shared" si="39"/>
        <v>0.39458732769174126</v>
      </c>
      <c r="J33" s="56">
        <f t="shared" si="39"/>
        <v>0.37389434099285745</v>
      </c>
      <c r="K33" s="56">
        <f t="shared" si="39"/>
        <v>0.37277401977671615</v>
      </c>
      <c r="L33" s="56">
        <f t="shared" si="39"/>
        <v>0.37823248803016946</v>
      </c>
      <c r="M33" s="56">
        <f t="shared" si="39"/>
        <v>0.39260302733257679</v>
      </c>
      <c r="N33" s="56">
        <f t="shared" si="39"/>
        <v>0.37536771678071879</v>
      </c>
      <c r="O33" s="56">
        <f t="shared" si="39"/>
        <v>0.40872635899056586</v>
      </c>
      <c r="P33" s="56">
        <f t="shared" si="39"/>
        <v>0.37862447701202834</v>
      </c>
      <c r="Q33" s="56">
        <f t="shared" si="39"/>
        <v>0.40729693457053257</v>
      </c>
      <c r="R33" s="56">
        <f t="shared" si="39"/>
        <v>0.42687458343793716</v>
      </c>
      <c r="S33" s="56">
        <f t="shared" si="39"/>
        <v>0.39294407277466398</v>
      </c>
      <c r="U33" s="56">
        <f t="shared" si="40"/>
        <v>-4.4851063171910805</v>
      </c>
      <c r="V33" s="56">
        <f t="shared" si="40"/>
        <v>-1.5060218707433985</v>
      </c>
      <c r="W33" s="56">
        <f t="shared" si="40"/>
        <v>0.56133498780496993</v>
      </c>
      <c r="X33" s="56">
        <f t="shared" si="40"/>
        <v>-0.19645383085833107</v>
      </c>
      <c r="Y33" s="56">
        <f t="shared" si="40"/>
        <v>2.8029251972149411E-2</v>
      </c>
      <c r="Z33" s="56">
        <f t="shared" si="40"/>
        <v>0.5528724868426288</v>
      </c>
      <c r="AA33" s="56">
        <f t="shared" si="40"/>
        <v>-0.18716037933200999</v>
      </c>
      <c r="AB33" s="56">
        <f t="shared" si="40"/>
        <v>0.63088864095768526</v>
      </c>
      <c r="AC33" s="56">
        <f t="shared" si="40"/>
        <v>0.65091223765325246</v>
      </c>
      <c r="AD33" s="56">
        <f t="shared" si="40"/>
        <v>0.51256795327596372</v>
      </c>
      <c r="AE33" s="56">
        <f t="shared" si="40"/>
        <v>0.35306941357334443</v>
      </c>
      <c r="AF33" s="56">
        <f t="shared" si="40"/>
        <v>-5.5391088871619532E-2</v>
      </c>
      <c r="AG33" s="56">
        <f t="shared" si="40"/>
        <v>0.38139576064102676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outlineLevel="1">
      <c r="A34" s="42">
        <v>3110</v>
      </c>
      <c r="B34" s="43" t="s">
        <v>99</v>
      </c>
      <c r="C34" s="51">
        <v>48709.158333333333</v>
      </c>
      <c r="D34" s="51">
        <v>43194.37</v>
      </c>
      <c r="E34" s="51">
        <v>114315.77333333333</v>
      </c>
      <c r="G34" s="51">
        <f>121000/12</f>
        <v>10083.333333333334</v>
      </c>
      <c r="H34" s="51">
        <f t="shared" ref="H34:R34" si="42">121000/12</f>
        <v>10083.333333333334</v>
      </c>
      <c r="I34" s="51">
        <f t="shared" si="42"/>
        <v>10083.333333333334</v>
      </c>
      <c r="J34" s="51">
        <f t="shared" si="42"/>
        <v>10083.333333333334</v>
      </c>
      <c r="K34" s="51">
        <f t="shared" si="42"/>
        <v>10083.333333333334</v>
      </c>
      <c r="L34" s="51">
        <f t="shared" si="42"/>
        <v>10083.333333333334</v>
      </c>
      <c r="M34" s="51">
        <f t="shared" si="42"/>
        <v>10083.333333333334</v>
      </c>
      <c r="N34" s="51">
        <f t="shared" si="42"/>
        <v>10083.333333333334</v>
      </c>
      <c r="O34" s="51">
        <f t="shared" si="42"/>
        <v>10083.333333333334</v>
      </c>
      <c r="P34" s="51">
        <f t="shared" si="42"/>
        <v>10083.333333333334</v>
      </c>
      <c r="Q34" s="51">
        <f t="shared" si="42"/>
        <v>10083.333333333334</v>
      </c>
      <c r="R34" s="51">
        <f t="shared" si="42"/>
        <v>10083.333333333334</v>
      </c>
      <c r="S34" s="51">
        <f t="shared" ref="S34:S64" si="43">SUM(G34:R34)</f>
        <v>120999.99999999999</v>
      </c>
      <c r="U34" s="51">
        <f>SUM(a:b!U34)</f>
        <v>347587.5</v>
      </c>
      <c r="V34" s="51">
        <f>SUM(a:b!V34)</f>
        <v>22587.5</v>
      </c>
      <c r="W34" s="51">
        <f>SUM(a:b!W34)</f>
        <v>22587.5</v>
      </c>
      <c r="X34" s="51">
        <f>SUM(a:b!X34)</f>
        <v>22587.5</v>
      </c>
      <c r="Y34" s="51">
        <f>SUM(a:b!Y34)</f>
        <v>22587.5</v>
      </c>
      <c r="Z34" s="51">
        <f>SUM(a:b!Z34)</f>
        <v>22587.5</v>
      </c>
      <c r="AA34" s="51">
        <f>SUM(a:b!AA34)</f>
        <v>22587.5</v>
      </c>
      <c r="AB34" s="51">
        <f>SUM(a:b!AB34)</f>
        <v>22587.5</v>
      </c>
      <c r="AC34" s="51">
        <f>SUM(a:b!AC34)</f>
        <v>22587.5</v>
      </c>
      <c r="AD34" s="51">
        <f>SUM(a:b!AD34)</f>
        <v>22587.5</v>
      </c>
      <c r="AE34" s="51">
        <f>SUM(a:b!AE34)</f>
        <v>22587.5</v>
      </c>
      <c r="AF34" s="51">
        <f>SUM(a:b!AF34)</f>
        <v>22587.5</v>
      </c>
      <c r="AG34" s="51">
        <f t="shared" ref="AG34:AG64" si="44">SUM(U34:AF34)</f>
        <v>596050</v>
      </c>
      <c r="AH34" s="397">
        <f t="shared" ref="AH34:AH73" si="45">AG34/S34-1</f>
        <v>3.9260330578512406</v>
      </c>
      <c r="AI34" s="96" t="s">
        <v>410</v>
      </c>
    </row>
    <row r="35" spans="1:43" s="96" customFormat="1" outlineLevel="1">
      <c r="A35" s="42">
        <v>3120</v>
      </c>
      <c r="B35" s="43" t="s">
        <v>100</v>
      </c>
      <c r="C35" s="51">
        <v>58225.03</v>
      </c>
      <c r="D35" s="51">
        <v>50026.791666666664</v>
      </c>
      <c r="E35" s="51">
        <v>39260.041666666664</v>
      </c>
      <c r="G35" s="51">
        <f>41000/12</f>
        <v>3416.6666666666665</v>
      </c>
      <c r="H35" s="51">
        <f t="shared" ref="H35:R35" si="46">41000/12</f>
        <v>3416.6666666666665</v>
      </c>
      <c r="I35" s="51">
        <f t="shared" si="46"/>
        <v>3416.6666666666665</v>
      </c>
      <c r="J35" s="51">
        <f t="shared" si="46"/>
        <v>3416.6666666666665</v>
      </c>
      <c r="K35" s="51">
        <f t="shared" si="46"/>
        <v>3416.6666666666665</v>
      </c>
      <c r="L35" s="51">
        <f t="shared" si="46"/>
        <v>3416.6666666666665</v>
      </c>
      <c r="M35" s="51">
        <f t="shared" si="46"/>
        <v>3416.6666666666665</v>
      </c>
      <c r="N35" s="51">
        <f t="shared" si="46"/>
        <v>3416.6666666666665</v>
      </c>
      <c r="O35" s="51">
        <f t="shared" si="46"/>
        <v>3416.6666666666665</v>
      </c>
      <c r="P35" s="51">
        <f t="shared" si="46"/>
        <v>3416.6666666666665</v>
      </c>
      <c r="Q35" s="51">
        <f t="shared" si="46"/>
        <v>3416.6666666666665</v>
      </c>
      <c r="R35" s="51">
        <f t="shared" si="46"/>
        <v>3416.6666666666665</v>
      </c>
      <c r="S35" s="51">
        <f t="shared" si="43"/>
        <v>41000</v>
      </c>
      <c r="U35" s="51">
        <f>SUM(a:b!U35)</f>
        <v>14525.000000000002</v>
      </c>
      <c r="V35" s="51">
        <f>SUM(a:b!V35)</f>
        <v>3587.5</v>
      </c>
      <c r="W35" s="51">
        <f>SUM(a:b!W35)</f>
        <v>3587.5</v>
      </c>
      <c r="X35" s="51">
        <f>SUM(a:b!X35)</f>
        <v>3587.5</v>
      </c>
      <c r="Y35" s="51">
        <f>SUM(a:b!Y35)</f>
        <v>3587.5</v>
      </c>
      <c r="Z35" s="51">
        <f>SUM(a:b!Z35)</f>
        <v>3587.5</v>
      </c>
      <c r="AA35" s="51">
        <f>SUM(a:b!AA35)</f>
        <v>3587.5</v>
      </c>
      <c r="AB35" s="51">
        <f>SUM(a:b!AB35)</f>
        <v>3587.5</v>
      </c>
      <c r="AC35" s="51">
        <f>SUM(a:b!AC35)</f>
        <v>3587.5</v>
      </c>
      <c r="AD35" s="51">
        <f>SUM(a:b!AD35)</f>
        <v>3587.5</v>
      </c>
      <c r="AE35" s="51">
        <f>SUM(a:b!AE35)</f>
        <v>3587.5</v>
      </c>
      <c r="AF35" s="51">
        <f>SUM(a:b!AF35)</f>
        <v>3587.5</v>
      </c>
      <c r="AG35" s="51">
        <f t="shared" si="44"/>
        <v>53987.5</v>
      </c>
      <c r="AH35" s="397">
        <f t="shared" si="45"/>
        <v>0.31676829268292672</v>
      </c>
    </row>
    <row r="36" spans="1:43" s="96" customFormat="1" outlineLevel="1">
      <c r="A36" s="42">
        <v>3130</v>
      </c>
      <c r="B36" s="43" t="s">
        <v>101</v>
      </c>
      <c r="C36" s="51">
        <v>8749.1883333333335</v>
      </c>
      <c r="D36" s="51">
        <v>13754.13</v>
      </c>
      <c r="E36" s="51">
        <v>37667.281666666669</v>
      </c>
      <c r="G36" s="51">
        <f>43000/12</f>
        <v>3583.3333333333335</v>
      </c>
      <c r="H36" s="51">
        <f t="shared" ref="H36:R36" si="47">43000/12</f>
        <v>3583.3333333333335</v>
      </c>
      <c r="I36" s="51">
        <f t="shared" si="47"/>
        <v>3583.3333333333335</v>
      </c>
      <c r="J36" s="51">
        <f t="shared" si="47"/>
        <v>3583.3333333333335</v>
      </c>
      <c r="K36" s="51">
        <f t="shared" si="47"/>
        <v>3583.3333333333335</v>
      </c>
      <c r="L36" s="51">
        <f t="shared" si="47"/>
        <v>3583.3333333333335</v>
      </c>
      <c r="M36" s="51">
        <f t="shared" si="47"/>
        <v>3583.3333333333335</v>
      </c>
      <c r="N36" s="51">
        <f t="shared" si="47"/>
        <v>3583.3333333333335</v>
      </c>
      <c r="O36" s="51">
        <f t="shared" si="47"/>
        <v>3583.3333333333335</v>
      </c>
      <c r="P36" s="51">
        <f t="shared" si="47"/>
        <v>3583.3333333333335</v>
      </c>
      <c r="Q36" s="51">
        <f t="shared" si="47"/>
        <v>3583.3333333333335</v>
      </c>
      <c r="R36" s="51">
        <f t="shared" si="47"/>
        <v>3583.3333333333335</v>
      </c>
      <c r="S36" s="51">
        <f t="shared" si="43"/>
        <v>43000</v>
      </c>
      <c r="U36" s="51">
        <f>SUM(a:b!U36)</f>
        <v>23435.166666666668</v>
      </c>
      <c r="V36" s="51">
        <f>SUM(a:b!V36)</f>
        <v>3435.1666666666665</v>
      </c>
      <c r="W36" s="51">
        <f>SUM(a:b!W36)</f>
        <v>3435.1666666666665</v>
      </c>
      <c r="X36" s="51">
        <f>SUM(a:b!X36)</f>
        <v>3435.1666666666665</v>
      </c>
      <c r="Y36" s="51">
        <f>SUM(a:b!Y36)</f>
        <v>3435.1666666666665</v>
      </c>
      <c r="Z36" s="51">
        <f>SUM(a:b!Z36)</f>
        <v>3435.1666666666665</v>
      </c>
      <c r="AA36" s="51">
        <f>SUM(a:b!AA36)</f>
        <v>3435.1666666666665</v>
      </c>
      <c r="AB36" s="51">
        <f>SUM(a:b!AB36)</f>
        <v>3435.1666666666665</v>
      </c>
      <c r="AC36" s="51">
        <f>SUM(a:b!AC36)</f>
        <v>3435.1666666666665</v>
      </c>
      <c r="AD36" s="51">
        <f>SUM(a:b!AD36)</f>
        <v>3435.1666666666665</v>
      </c>
      <c r="AE36" s="51">
        <f>SUM(a:b!AE36)</f>
        <v>3435.1666666666665</v>
      </c>
      <c r="AF36" s="51">
        <f>SUM(a:b!AF36)</f>
        <v>3435.1666666666665</v>
      </c>
      <c r="AG36" s="51">
        <f t="shared" si="44"/>
        <v>61221.999999999985</v>
      </c>
      <c r="AH36" s="397">
        <f t="shared" si="45"/>
        <v>0.42376744186046489</v>
      </c>
    </row>
    <row r="37" spans="1:43" s="96" customFormat="1" outlineLevel="1">
      <c r="A37" s="42">
        <v>3140</v>
      </c>
      <c r="B37" s="43" t="s">
        <v>102</v>
      </c>
      <c r="C37" s="51">
        <v>333.33333333333331</v>
      </c>
      <c r="D37" s="51">
        <v>9761.51</v>
      </c>
      <c r="E37" s="51">
        <v>3377.8066666666668</v>
      </c>
      <c r="G37" s="51">
        <f>3700/12</f>
        <v>308.33333333333331</v>
      </c>
      <c r="H37" s="51">
        <f t="shared" ref="H37:R37" si="48">3700/12</f>
        <v>308.33333333333331</v>
      </c>
      <c r="I37" s="51">
        <f t="shared" si="48"/>
        <v>308.33333333333331</v>
      </c>
      <c r="J37" s="51">
        <f t="shared" si="48"/>
        <v>308.33333333333331</v>
      </c>
      <c r="K37" s="51">
        <f t="shared" si="48"/>
        <v>308.33333333333331</v>
      </c>
      <c r="L37" s="51">
        <f t="shared" si="48"/>
        <v>308.33333333333331</v>
      </c>
      <c r="M37" s="51">
        <f t="shared" si="48"/>
        <v>308.33333333333331</v>
      </c>
      <c r="N37" s="51">
        <f t="shared" si="48"/>
        <v>308.33333333333331</v>
      </c>
      <c r="O37" s="51">
        <f t="shared" si="48"/>
        <v>308.33333333333331</v>
      </c>
      <c r="P37" s="51">
        <f t="shared" si="48"/>
        <v>308.33333333333331</v>
      </c>
      <c r="Q37" s="51">
        <f t="shared" si="48"/>
        <v>308.33333333333331</v>
      </c>
      <c r="R37" s="51">
        <f t="shared" si="48"/>
        <v>308.33333333333331</v>
      </c>
      <c r="S37" s="51">
        <f t="shared" si="43"/>
        <v>3700.0000000000005</v>
      </c>
      <c r="U37" s="51">
        <f>SUM(a:b!U37)</f>
        <v>2500</v>
      </c>
      <c r="V37" s="51">
        <f>SUM(a:b!V37)</f>
        <v>2500</v>
      </c>
      <c r="W37" s="51">
        <f>SUM(a:b!W37)</f>
        <v>2500</v>
      </c>
      <c r="X37" s="51">
        <f>SUM(a:b!X37)</f>
        <v>2500</v>
      </c>
      <c r="Y37" s="51">
        <f>SUM(a:b!Y37)</f>
        <v>2500</v>
      </c>
      <c r="Z37" s="51">
        <f>SUM(a:b!Z37)</f>
        <v>2500</v>
      </c>
      <c r="AA37" s="51">
        <f>SUM(a:b!AA37)</f>
        <v>2500</v>
      </c>
      <c r="AB37" s="51">
        <f>SUM(a:b!AB37)</f>
        <v>2500</v>
      </c>
      <c r="AC37" s="51">
        <f>SUM(a:b!AC37)</f>
        <v>2500</v>
      </c>
      <c r="AD37" s="51">
        <f>SUM(a:b!AD37)</f>
        <v>2500</v>
      </c>
      <c r="AE37" s="51">
        <f>SUM(a:b!AE37)</f>
        <v>2500</v>
      </c>
      <c r="AF37" s="51">
        <f>SUM(a:b!AF37)</f>
        <v>2500</v>
      </c>
      <c r="AG37" s="51">
        <f t="shared" si="44"/>
        <v>30000</v>
      </c>
      <c r="AH37" s="397">
        <f t="shared" si="45"/>
        <v>7.108108108108107</v>
      </c>
    </row>
    <row r="38" spans="1:43" s="96" customFormat="1" outlineLevel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f>investice!G68</f>
        <v>2735.6666666666665</v>
      </c>
      <c r="H38" s="44">
        <f>investice!H68</f>
        <v>2735.6666666666665</v>
      </c>
      <c r="I38" s="44">
        <f>investice!I68</f>
        <v>2735.6666666666665</v>
      </c>
      <c r="J38" s="44">
        <f>investice!J68</f>
        <v>4652.6666666666661</v>
      </c>
      <c r="K38" s="44">
        <f>investice!K68</f>
        <v>4652.6666666666661</v>
      </c>
      <c r="L38" s="44">
        <f>investice!L68</f>
        <v>4652.6666666666661</v>
      </c>
      <c r="M38" s="44">
        <f>investice!M68</f>
        <v>4652.6666666666661</v>
      </c>
      <c r="N38" s="44">
        <f>investice!N68</f>
        <v>4652.6666666666661</v>
      </c>
      <c r="O38" s="44">
        <f>investice!O68</f>
        <v>4652.6666666666661</v>
      </c>
      <c r="P38" s="44">
        <f>investice!P68</f>
        <v>4652.6666666666661</v>
      </c>
      <c r="Q38" s="44">
        <f>investice!Q68</f>
        <v>4652.6666666666661</v>
      </c>
      <c r="R38" s="44">
        <f>investice!R68</f>
        <v>16308.999999999998</v>
      </c>
      <c r="S38" s="44">
        <f t="shared" si="43"/>
        <v>61737.333333333321</v>
      </c>
      <c r="U38" s="44">
        <f>SUM(a:b!U38)</f>
        <v>16308.999999999998</v>
      </c>
      <c r="V38" s="44">
        <f>SUM(a:b!V38)</f>
        <v>16308.999999999998</v>
      </c>
      <c r="W38" s="44">
        <f>SUM(a:b!W38)</f>
        <v>16308.999999999998</v>
      </c>
      <c r="X38" s="44">
        <f>SUM(a:b!X38)</f>
        <v>16308.999999999998</v>
      </c>
      <c r="Y38" s="44">
        <f>SUM(a:b!Y38)</f>
        <v>16308.999999999998</v>
      </c>
      <c r="Z38" s="44">
        <f>SUM(a:b!Z38)</f>
        <v>16308.999999999998</v>
      </c>
      <c r="AA38" s="44">
        <f>SUM(a:b!AA38)</f>
        <v>16308.999999999998</v>
      </c>
      <c r="AB38" s="44">
        <f>SUM(a:b!AB38)</f>
        <v>16308.999999999998</v>
      </c>
      <c r="AC38" s="44">
        <f>SUM(a:b!AC38)</f>
        <v>19642.333333333336</v>
      </c>
      <c r="AD38" s="44">
        <f>SUM(a:b!AD38)</f>
        <v>19642.333333333336</v>
      </c>
      <c r="AE38" s="44">
        <f>SUM(a:b!AE38)</f>
        <v>19642.333333333336</v>
      </c>
      <c r="AF38" s="44">
        <f>SUM(a:b!AF38)</f>
        <v>19642.333333333336</v>
      </c>
      <c r="AG38" s="44">
        <f t="shared" si="44"/>
        <v>209041.33333333334</v>
      </c>
      <c r="AH38" s="397">
        <f t="shared" si="45"/>
        <v>2.3859793101958844</v>
      </c>
      <c r="AI38" s="96" t="s">
        <v>411</v>
      </c>
    </row>
    <row r="39" spans="1:43" s="96" customFormat="1">
      <c r="A39" s="57">
        <v>9300</v>
      </c>
      <c r="B39" s="57" t="s">
        <v>14</v>
      </c>
      <c r="C39" s="41">
        <f t="shared" ref="C39:F39" si="49">SUM(C34:C38)</f>
        <v>116016.70999999999</v>
      </c>
      <c r="D39" s="41">
        <f t="shared" si="49"/>
        <v>116736.80166666667</v>
      </c>
      <c r="E39" s="41">
        <f t="shared" si="49"/>
        <v>194620.90333333335</v>
      </c>
      <c r="F39" s="41">
        <f t="shared" si="49"/>
        <v>0</v>
      </c>
      <c r="G39" s="41">
        <f t="shared" ref="G39:R39" si="50">SUM(G34:G38)</f>
        <v>20127.333333333332</v>
      </c>
      <c r="H39" s="41">
        <f t="shared" si="50"/>
        <v>20127.333333333332</v>
      </c>
      <c r="I39" s="41">
        <f t="shared" si="50"/>
        <v>20127.333333333332</v>
      </c>
      <c r="J39" s="41">
        <f t="shared" si="50"/>
        <v>22044.333333333328</v>
      </c>
      <c r="K39" s="41">
        <f t="shared" si="50"/>
        <v>22044.333333333328</v>
      </c>
      <c r="L39" s="41">
        <f t="shared" si="50"/>
        <v>22044.333333333328</v>
      </c>
      <c r="M39" s="41">
        <f t="shared" si="50"/>
        <v>22044.333333333328</v>
      </c>
      <c r="N39" s="41">
        <f t="shared" si="50"/>
        <v>22044.333333333328</v>
      </c>
      <c r="O39" s="41">
        <f t="shared" si="50"/>
        <v>22044.333333333328</v>
      </c>
      <c r="P39" s="41">
        <f t="shared" si="50"/>
        <v>22044.333333333328</v>
      </c>
      <c r="Q39" s="41">
        <f t="shared" si="50"/>
        <v>22044.333333333328</v>
      </c>
      <c r="R39" s="41">
        <f t="shared" si="50"/>
        <v>33700.666666666664</v>
      </c>
      <c r="S39" s="41">
        <f t="shared" si="43"/>
        <v>270437.33333333326</v>
      </c>
      <c r="U39" s="41">
        <f t="shared" ref="U39:AF39" si="51">SUM(U34:U38)</f>
        <v>404356.66666666669</v>
      </c>
      <c r="V39" s="41">
        <f t="shared" si="51"/>
        <v>48419.166666666664</v>
      </c>
      <c r="W39" s="41">
        <f t="shared" si="51"/>
        <v>48419.166666666664</v>
      </c>
      <c r="X39" s="41">
        <f t="shared" si="51"/>
        <v>48419.166666666664</v>
      </c>
      <c r="Y39" s="41">
        <f t="shared" si="51"/>
        <v>48419.166666666664</v>
      </c>
      <c r="Z39" s="41">
        <f t="shared" si="51"/>
        <v>48419.166666666664</v>
      </c>
      <c r="AA39" s="41">
        <f t="shared" si="51"/>
        <v>48419.166666666664</v>
      </c>
      <c r="AB39" s="41">
        <f t="shared" si="51"/>
        <v>48419.166666666664</v>
      </c>
      <c r="AC39" s="41">
        <f t="shared" si="51"/>
        <v>51752.5</v>
      </c>
      <c r="AD39" s="41">
        <f t="shared" si="51"/>
        <v>51752.5</v>
      </c>
      <c r="AE39" s="41">
        <f t="shared" si="51"/>
        <v>51752.5</v>
      </c>
      <c r="AF39" s="41">
        <f t="shared" si="51"/>
        <v>51752.5</v>
      </c>
      <c r="AG39" s="41">
        <f t="shared" si="44"/>
        <v>950300.83333333326</v>
      </c>
      <c r="AH39" s="397">
        <f t="shared" si="45"/>
        <v>2.5139409992703183</v>
      </c>
    </row>
    <row r="40" spans="1:43" s="96" customFormat="1" ht="24" customHeight="1" outlineLevel="1">
      <c r="A40" s="42">
        <v>4510</v>
      </c>
      <c r="B40" s="43" t="s">
        <v>104</v>
      </c>
      <c r="C40" s="51">
        <v>24210.855</v>
      </c>
      <c r="D40" s="51">
        <v>13872.681666666665</v>
      </c>
      <c r="E40" s="51">
        <v>24014.410000000003</v>
      </c>
      <c r="G40" s="51">
        <f>SUM(a:b!G40)</f>
        <v>2040.2483333333332</v>
      </c>
      <c r="H40" s="51">
        <f>SUM(a:b!H40)</f>
        <v>821.79499999999996</v>
      </c>
      <c r="I40" s="51">
        <f>SUM(a:b!I40)</f>
        <v>1429.4783333333332</v>
      </c>
      <c r="J40" s="51">
        <f>SUM(a:b!J40)</f>
        <v>221.95666666666668</v>
      </c>
      <c r="K40" s="51">
        <f>SUM(a:b!K40)</f>
        <v>325.01499999999999</v>
      </c>
      <c r="L40" s="51">
        <f>SUM(a:b!L40)</f>
        <v>407.85166666666669</v>
      </c>
      <c r="M40" s="51">
        <f>SUM(a:b!M40)</f>
        <v>22560.648333333331</v>
      </c>
      <c r="N40" s="51">
        <f>SUM(a:b!N40)</f>
        <v>11789.366666666667</v>
      </c>
      <c r="O40" s="51">
        <f>SUM(a:b!O40)</f>
        <v>19386.801666666666</v>
      </c>
      <c r="P40" s="51">
        <f>SUM(a:b!P40)</f>
        <v>2286.6566666666668</v>
      </c>
      <c r="Q40" s="51">
        <f>SUM(a:b!Q40)</f>
        <v>773.81000000000006</v>
      </c>
      <c r="R40" s="51">
        <f>SUM(a:b!R40)</f>
        <v>833.33333333333337</v>
      </c>
      <c r="S40" s="51">
        <f t="shared" si="43"/>
        <v>62876.96166666667</v>
      </c>
      <c r="U40" s="51">
        <f>SUM(a:b!U40)</f>
        <v>5239.7468055555555</v>
      </c>
      <c r="V40" s="51">
        <f>SUM(a:b!V40)</f>
        <v>5239.7468055555555</v>
      </c>
      <c r="W40" s="51">
        <f>SUM(a:b!W40)</f>
        <v>5239.7468055555555</v>
      </c>
      <c r="X40" s="51">
        <f>SUM(a:b!X40)</f>
        <v>5239.7468055555555</v>
      </c>
      <c r="Y40" s="51">
        <f>SUM(a:b!Y40)</f>
        <v>5239.7468055555555</v>
      </c>
      <c r="Z40" s="51">
        <f>SUM(a:b!Z40)</f>
        <v>5239.7468055555555</v>
      </c>
      <c r="AA40" s="51">
        <f>SUM(a:b!AA40)</f>
        <v>5239.7468055555555</v>
      </c>
      <c r="AB40" s="51">
        <f>SUM(a:b!AB40)</f>
        <v>5239.7468055555555</v>
      </c>
      <c r="AC40" s="51">
        <f>SUM(a:b!AC40)</f>
        <v>5239.7468055555555</v>
      </c>
      <c r="AD40" s="51">
        <f>SUM(a:b!AD40)</f>
        <v>5239.7468055555555</v>
      </c>
      <c r="AE40" s="51">
        <f>SUM(a:b!AE40)</f>
        <v>5239.7468055555555</v>
      </c>
      <c r="AF40" s="51">
        <f>SUM(a:b!AF40)</f>
        <v>5239.7468055555555</v>
      </c>
      <c r="AG40" s="51">
        <f t="shared" si="44"/>
        <v>62876.961666666677</v>
      </c>
      <c r="AH40" s="397">
        <f t="shared" si="45"/>
        <v>0</v>
      </c>
    </row>
    <row r="41" spans="1:43" s="96" customFormat="1" outlineLevel="1">
      <c r="A41" s="42">
        <v>4512</v>
      </c>
      <c r="B41" s="43" t="s">
        <v>105</v>
      </c>
      <c r="C41" s="51">
        <v>14525.168333333333</v>
      </c>
      <c r="D41" s="51">
        <v>8794.84</v>
      </c>
      <c r="E41" s="51">
        <v>5797.8016666666672</v>
      </c>
      <c r="G41" s="51">
        <f>SUM(a:b!G41)</f>
        <v>0</v>
      </c>
      <c r="H41" s="51">
        <f>SUM(a:b!H41)</f>
        <v>0</v>
      </c>
      <c r="I41" s="51">
        <f>SUM(a:b!I41)</f>
        <v>0</v>
      </c>
      <c r="J41" s="51">
        <f>SUM(a:b!J41)</f>
        <v>0</v>
      </c>
      <c r="K41" s="51">
        <f>SUM(a:b!K41)</f>
        <v>0</v>
      </c>
      <c r="L41" s="51">
        <f>SUM(a:b!L41)</f>
        <v>7157.3866666666663</v>
      </c>
      <c r="M41" s="51">
        <f>SUM(a:b!M41)</f>
        <v>902.91</v>
      </c>
      <c r="N41" s="51">
        <f>SUM(a:b!N41)</f>
        <v>4934.3566666666666</v>
      </c>
      <c r="O41" s="51">
        <f>SUM(a:b!O41)</f>
        <v>1103.6000000000001</v>
      </c>
      <c r="P41" s="51">
        <f>SUM(a:b!P41)</f>
        <v>0</v>
      </c>
      <c r="Q41" s="51">
        <f>SUM(a:b!Q41)</f>
        <v>0</v>
      </c>
      <c r="R41" s="51">
        <f>SUM(a:b!R41)</f>
        <v>0</v>
      </c>
      <c r="S41" s="51">
        <f t="shared" si="43"/>
        <v>14098.253333333332</v>
      </c>
      <c r="U41" s="51">
        <f>SUM(a:b!U41)</f>
        <v>1174.8544444444444</v>
      </c>
      <c r="V41" s="51">
        <f>SUM(a:b!V41)</f>
        <v>1174.8544444444444</v>
      </c>
      <c r="W41" s="51">
        <f>SUM(a:b!W41)</f>
        <v>1174.8544444444444</v>
      </c>
      <c r="X41" s="51">
        <f>SUM(a:b!X41)</f>
        <v>1174.8544444444444</v>
      </c>
      <c r="Y41" s="51">
        <f>SUM(a:b!Y41)</f>
        <v>1174.8544444444444</v>
      </c>
      <c r="Z41" s="51">
        <f>SUM(a:b!Z41)</f>
        <v>1174.8544444444444</v>
      </c>
      <c r="AA41" s="51">
        <f>SUM(a:b!AA41)</f>
        <v>1174.8544444444444</v>
      </c>
      <c r="AB41" s="51">
        <f>SUM(a:b!AB41)</f>
        <v>1174.8544444444444</v>
      </c>
      <c r="AC41" s="51">
        <f>SUM(a:b!AC41)</f>
        <v>1174.8544444444444</v>
      </c>
      <c r="AD41" s="51">
        <f>SUM(a:b!AD41)</f>
        <v>1174.8544444444444</v>
      </c>
      <c r="AE41" s="51">
        <f>SUM(a:b!AE41)</f>
        <v>1174.8544444444444</v>
      </c>
      <c r="AF41" s="51">
        <f>SUM(a:b!AF41)</f>
        <v>1174.8544444444444</v>
      </c>
      <c r="AG41" s="51">
        <f t="shared" si="44"/>
        <v>14098.253333333336</v>
      </c>
      <c r="AH41" s="397">
        <f t="shared" si="45"/>
        <v>0</v>
      </c>
    </row>
    <row r="42" spans="1:43" s="96" customFormat="1" outlineLevel="1">
      <c r="A42" s="42">
        <v>4520</v>
      </c>
      <c r="B42" s="43" t="s">
        <v>106</v>
      </c>
      <c r="C42" s="51">
        <v>33062.333333333336</v>
      </c>
      <c r="D42" s="51">
        <v>67307.673333333325</v>
      </c>
      <c r="E42" s="51">
        <v>21698.723333333335</v>
      </c>
      <c r="G42" s="51">
        <f>SUM(a:b!G42)</f>
        <v>3299.3116666666665</v>
      </c>
      <c r="H42" s="51">
        <f>SUM(a:b!H42)</f>
        <v>0</v>
      </c>
      <c r="I42" s="51">
        <f>SUM(a:b!I42)</f>
        <v>20827.833333333332</v>
      </c>
      <c r="J42" s="51">
        <f>SUM(a:b!J42)</f>
        <v>0</v>
      </c>
      <c r="K42" s="51">
        <f>SUM(a:b!K42)</f>
        <v>874.33333333333337</v>
      </c>
      <c r="L42" s="51">
        <f>SUM(a:b!L42)</f>
        <v>3950</v>
      </c>
      <c r="M42" s="51">
        <f>SUM(a:b!M42)</f>
        <v>4525.666666666667</v>
      </c>
      <c r="N42" s="51">
        <f>SUM(a:b!N42)</f>
        <v>0</v>
      </c>
      <c r="O42" s="51">
        <f>SUM(a:b!O42)</f>
        <v>0</v>
      </c>
      <c r="P42" s="51">
        <f>SUM(a:b!P42)</f>
        <v>0</v>
      </c>
      <c r="Q42" s="51">
        <f>SUM(a:b!Q42)</f>
        <v>6725</v>
      </c>
      <c r="R42" s="51">
        <f>SUM(a:b!R42)</f>
        <v>0</v>
      </c>
      <c r="S42" s="51">
        <f t="shared" si="43"/>
        <v>40202.144999999997</v>
      </c>
      <c r="U42" s="51">
        <f>SUM(a:b!U42)</f>
        <v>5025.2681249999996</v>
      </c>
      <c r="V42" s="51">
        <f>SUM(a:b!V42)</f>
        <v>5025.2681249999996</v>
      </c>
      <c r="W42" s="51">
        <f>SUM(a:b!W42)</f>
        <v>5025.2681249999996</v>
      </c>
      <c r="X42" s="51">
        <f>SUM(a:b!X42)</f>
        <v>5025.2681249999996</v>
      </c>
      <c r="Y42" s="51">
        <f>SUM(a:b!Y42)</f>
        <v>5025.2681249999996</v>
      </c>
      <c r="Z42" s="51">
        <f>SUM(a:b!Z42)</f>
        <v>5025.2681249999996</v>
      </c>
      <c r="AA42" s="51">
        <f>SUM(a:b!AA42)</f>
        <v>5025.2681249999996</v>
      </c>
      <c r="AB42" s="51">
        <f>SUM(a:b!AB42)</f>
        <v>5025.2681249999996</v>
      </c>
      <c r="AC42" s="51">
        <f>SUM(a:b!AC42)</f>
        <v>5025.2681249999996</v>
      </c>
      <c r="AD42" s="51">
        <f>SUM(a:b!AD42)</f>
        <v>5025.2681249999996</v>
      </c>
      <c r="AE42" s="51">
        <f>SUM(a:b!AE42)</f>
        <v>5025.2681249999996</v>
      </c>
      <c r="AF42" s="51">
        <f>SUM(a:b!AF42)</f>
        <v>5025.2681249999996</v>
      </c>
      <c r="AG42" s="51">
        <f t="shared" si="44"/>
        <v>60303.217500000006</v>
      </c>
      <c r="AH42" s="397">
        <f t="shared" si="45"/>
        <v>0.50000000000000022</v>
      </c>
    </row>
    <row r="43" spans="1:43" s="96" customFormat="1" outlineLevel="1">
      <c r="A43" s="42">
        <v>4530</v>
      </c>
      <c r="B43" s="43" t="s">
        <v>107</v>
      </c>
      <c r="C43" s="51">
        <v>16467.5</v>
      </c>
      <c r="D43" s="51">
        <v>9480.1666666666661</v>
      </c>
      <c r="E43" s="51">
        <v>10675.666666666666</v>
      </c>
      <c r="G43" s="51">
        <f>SUM(a:b!G43)</f>
        <v>0</v>
      </c>
      <c r="H43" s="51">
        <f>SUM(a:b!H43)</f>
        <v>441.66666666666669</v>
      </c>
      <c r="I43" s="51">
        <f>SUM(a:b!I43)</f>
        <v>491.66666666666669</v>
      </c>
      <c r="J43" s="51">
        <f>SUM(a:b!J43)</f>
        <v>1033.3333333333333</v>
      </c>
      <c r="K43" s="51">
        <f>SUM(a:b!K43)</f>
        <v>391.66666666666669</v>
      </c>
      <c r="L43" s="51">
        <f>SUM(a:b!L43)</f>
        <v>391.66666666666669</v>
      </c>
      <c r="M43" s="51">
        <f>SUM(a:b!M43)</f>
        <v>1055</v>
      </c>
      <c r="N43" s="51">
        <f>SUM(a:b!N43)</f>
        <v>441.66666666666669</v>
      </c>
      <c r="O43" s="51">
        <f>SUM(a:b!O43)</f>
        <v>833.33333333333337</v>
      </c>
      <c r="P43" s="51">
        <f>SUM(a:b!P43)</f>
        <v>600</v>
      </c>
      <c r="Q43" s="51">
        <f>SUM(a:b!Q43)</f>
        <v>1648.3333333333333</v>
      </c>
      <c r="R43" s="51">
        <f>SUM(a:b!R43)</f>
        <v>833.33333333333337</v>
      </c>
      <c r="S43" s="51">
        <f t="shared" si="43"/>
        <v>8161.6666666666652</v>
      </c>
      <c r="U43" s="51">
        <f>SUM(a:b!U43)</f>
        <v>680.1388888888888</v>
      </c>
      <c r="V43" s="51">
        <f>SUM(a:b!V43)</f>
        <v>680.1388888888888</v>
      </c>
      <c r="W43" s="51">
        <f>SUM(a:b!W43)</f>
        <v>680.1388888888888</v>
      </c>
      <c r="X43" s="51">
        <f>SUM(a:b!X43)</f>
        <v>680.1388888888888</v>
      </c>
      <c r="Y43" s="51">
        <f>SUM(a:b!Y43)</f>
        <v>680.1388888888888</v>
      </c>
      <c r="Z43" s="51">
        <f>SUM(a:b!Z43)</f>
        <v>680.1388888888888</v>
      </c>
      <c r="AA43" s="51">
        <f>SUM(a:b!AA43)</f>
        <v>680.1388888888888</v>
      </c>
      <c r="AB43" s="51">
        <f>SUM(a:b!AB43)</f>
        <v>680.1388888888888</v>
      </c>
      <c r="AC43" s="51">
        <f>SUM(a:b!AC43)</f>
        <v>680.1388888888888</v>
      </c>
      <c r="AD43" s="51">
        <f>SUM(a:b!AD43)</f>
        <v>680.1388888888888</v>
      </c>
      <c r="AE43" s="51">
        <f>SUM(a:b!AE43)</f>
        <v>680.1388888888888</v>
      </c>
      <c r="AF43" s="51">
        <f>SUM(a:b!AF43)</f>
        <v>680.1388888888888</v>
      </c>
      <c r="AG43" s="51">
        <f t="shared" si="44"/>
        <v>8161.6666666666652</v>
      </c>
      <c r="AH43" s="397">
        <f t="shared" si="45"/>
        <v>0</v>
      </c>
    </row>
    <row r="44" spans="1:43" s="96" customFormat="1" outlineLevel="1">
      <c r="A44" s="42">
        <v>4540</v>
      </c>
      <c r="B44" s="43" t="s">
        <v>108</v>
      </c>
      <c r="C44" s="51">
        <v>19600.833333333332</v>
      </c>
      <c r="D44" s="51">
        <v>19601.333333333332</v>
      </c>
      <c r="E44" s="51">
        <v>19752</v>
      </c>
      <c r="G44" s="51">
        <f>SUM(a:b!G44)</f>
        <v>0</v>
      </c>
      <c r="H44" s="51">
        <f>SUM(a:b!H44)</f>
        <v>0</v>
      </c>
      <c r="I44" s="51">
        <f>SUM(a:b!I44)</f>
        <v>0</v>
      </c>
      <c r="J44" s="51">
        <f>SUM(a:b!J44)</f>
        <v>0</v>
      </c>
      <c r="K44" s="51">
        <f>SUM(a:b!K44)</f>
        <v>3292</v>
      </c>
      <c r="L44" s="51">
        <f>SUM(a:b!L44)</f>
        <v>0</v>
      </c>
      <c r="M44" s="51">
        <f>SUM(a:b!M44)</f>
        <v>0</v>
      </c>
      <c r="N44" s="51">
        <f>SUM(a:b!N44)</f>
        <v>0</v>
      </c>
      <c r="O44" s="51">
        <f>SUM(a:b!O44)</f>
        <v>0</v>
      </c>
      <c r="P44" s="51">
        <f>SUM(a:b!P44)</f>
        <v>0</v>
      </c>
      <c r="Q44" s="51">
        <f>SUM(a:b!Q44)</f>
        <v>0</v>
      </c>
      <c r="R44" s="51">
        <f>SUM(a:b!R44)</f>
        <v>0</v>
      </c>
      <c r="S44" s="51">
        <f t="shared" si="43"/>
        <v>3292</v>
      </c>
      <c r="U44" s="51">
        <f>SUM(a:b!U44)</f>
        <v>274.33333333333331</v>
      </c>
      <c r="V44" s="51">
        <f>SUM(a:b!V44)</f>
        <v>274.33333333333331</v>
      </c>
      <c r="W44" s="51">
        <f>SUM(a:b!W44)</f>
        <v>274.33333333333331</v>
      </c>
      <c r="X44" s="51">
        <f>SUM(a:b!X44)</f>
        <v>274.33333333333331</v>
      </c>
      <c r="Y44" s="51">
        <f>SUM(a:b!Y44)</f>
        <v>274.33333333333331</v>
      </c>
      <c r="Z44" s="51">
        <f>SUM(a:b!Z44)</f>
        <v>274.33333333333331</v>
      </c>
      <c r="AA44" s="51">
        <f>SUM(a:b!AA44)</f>
        <v>274.33333333333331</v>
      </c>
      <c r="AB44" s="51">
        <f>SUM(a:b!AB44)</f>
        <v>274.33333333333331</v>
      </c>
      <c r="AC44" s="51">
        <f>SUM(a:b!AC44)</f>
        <v>274.33333333333331</v>
      </c>
      <c r="AD44" s="51">
        <f>SUM(a:b!AD44)</f>
        <v>274.33333333333331</v>
      </c>
      <c r="AE44" s="51">
        <f>SUM(a:b!AE44)</f>
        <v>274.33333333333331</v>
      </c>
      <c r="AF44" s="51">
        <f>SUM(a:b!AF44)</f>
        <v>274.33333333333331</v>
      </c>
      <c r="AG44" s="51">
        <f t="shared" si="44"/>
        <v>3292.0000000000005</v>
      </c>
      <c r="AH44" s="397">
        <f t="shared" si="45"/>
        <v>0</v>
      </c>
    </row>
    <row r="45" spans="1:43" s="96" customFormat="1" outlineLevel="1">
      <c r="A45" s="42">
        <v>4550</v>
      </c>
      <c r="B45" s="43" t="s">
        <v>109</v>
      </c>
      <c r="C45" s="51">
        <v>7966.2416666666677</v>
      </c>
      <c r="D45" s="51">
        <v>20346.086666666666</v>
      </c>
      <c r="E45" s="51">
        <v>50861.856666666659</v>
      </c>
      <c r="G45" s="51">
        <f>SUM(a:b!G45)</f>
        <v>1944.8683333333336</v>
      </c>
      <c r="H45" s="51">
        <f>SUM(a:b!H45)</f>
        <v>842.83333333333337</v>
      </c>
      <c r="I45" s="51">
        <f>SUM(a:b!I45)</f>
        <v>1109.5</v>
      </c>
      <c r="J45" s="51">
        <f>SUM(a:b!J45)</f>
        <v>842.83333333333337</v>
      </c>
      <c r="K45" s="51">
        <f>SUM(a:b!K45)</f>
        <v>910.13666666666677</v>
      </c>
      <c r="L45" s="51">
        <f>SUM(a:b!L45)</f>
        <v>16805.486666666668</v>
      </c>
      <c r="M45" s="51">
        <f>SUM(a:b!M45)</f>
        <v>1037.8600000000001</v>
      </c>
      <c r="N45" s="51">
        <f>SUM(a:b!N45)</f>
        <v>842.83333333333337</v>
      </c>
      <c r="O45" s="51">
        <f>SUM(a:b!O45)</f>
        <v>1929.8733333333337</v>
      </c>
      <c r="P45" s="51">
        <f>SUM(a:b!P45)</f>
        <v>842.83333333333337</v>
      </c>
      <c r="Q45" s="51">
        <f>SUM(a:b!Q45)</f>
        <v>916.16666666666663</v>
      </c>
      <c r="R45" s="51">
        <f>SUM(a:b!R45)</f>
        <v>1000</v>
      </c>
      <c r="S45" s="51">
        <f t="shared" si="43"/>
        <v>29025.224999999999</v>
      </c>
      <c r="U45" s="51">
        <f>SUM(a:b!U45)</f>
        <v>2902.5224999999996</v>
      </c>
      <c r="V45" s="51">
        <f>SUM(a:b!V45)</f>
        <v>2902.5224999999996</v>
      </c>
      <c r="W45" s="51">
        <f>SUM(a:b!W45)</f>
        <v>2902.5224999999996</v>
      </c>
      <c r="X45" s="51">
        <f>SUM(a:b!X45)</f>
        <v>2902.5224999999996</v>
      </c>
      <c r="Y45" s="51">
        <f>SUM(a:b!Y45)</f>
        <v>2902.5224999999996</v>
      </c>
      <c r="Z45" s="51">
        <f>SUM(a:b!Z45)</f>
        <v>2902.5224999999996</v>
      </c>
      <c r="AA45" s="51">
        <f>SUM(a:b!AA45)</f>
        <v>2902.5224999999996</v>
      </c>
      <c r="AB45" s="51">
        <f>SUM(a:b!AB45)</f>
        <v>2902.5224999999996</v>
      </c>
      <c r="AC45" s="51">
        <f>SUM(a:b!AC45)</f>
        <v>2902.5224999999996</v>
      </c>
      <c r="AD45" s="51">
        <f>SUM(a:b!AD45)</f>
        <v>2902.5224999999996</v>
      </c>
      <c r="AE45" s="51">
        <f>SUM(a:b!AE45)</f>
        <v>2902.5224999999996</v>
      </c>
      <c r="AF45" s="51">
        <f>SUM(a:b!AF45)</f>
        <v>2902.5224999999996</v>
      </c>
      <c r="AG45" s="51">
        <f t="shared" si="44"/>
        <v>34830.269999999997</v>
      </c>
      <c r="AH45" s="397">
        <f t="shared" si="45"/>
        <v>0.19999999999999996</v>
      </c>
    </row>
    <row r="46" spans="1:43" s="96" customFormat="1" outlineLevel="1">
      <c r="A46" s="42">
        <v>4560</v>
      </c>
      <c r="B46" s="43" t="s">
        <v>110</v>
      </c>
      <c r="C46" s="51">
        <v>63253.166666666664</v>
      </c>
      <c r="D46" s="51">
        <v>58781.811666666668</v>
      </c>
      <c r="E46" s="51">
        <v>64607.21333333334</v>
      </c>
      <c r="G46" s="51">
        <f>SUM(a:b!G46)</f>
        <v>672.375</v>
      </c>
      <c r="H46" s="51">
        <f>SUM(a:b!H46)</f>
        <v>607.30666666666673</v>
      </c>
      <c r="I46" s="51">
        <f>SUM(a:b!I46)</f>
        <v>672.37333333333333</v>
      </c>
      <c r="J46" s="51">
        <f>SUM(a:b!J46)</f>
        <v>650.68500000000006</v>
      </c>
      <c r="K46" s="51">
        <f>SUM(a:b!K46)</f>
        <v>672.375</v>
      </c>
      <c r="L46" s="51">
        <f>SUM(a:b!L46)</f>
        <v>650.68500000000006</v>
      </c>
      <c r="M46" s="51">
        <f>SUM(a:b!M46)</f>
        <v>1074.7083333333333</v>
      </c>
      <c r="N46" s="51">
        <f>SUM(a:b!N46)</f>
        <v>672.375</v>
      </c>
      <c r="O46" s="51">
        <f>SUM(a:b!O46)</f>
        <v>650.68500000000006</v>
      </c>
      <c r="P46" s="51">
        <f>SUM(a:b!P46)</f>
        <v>780.32333333333327</v>
      </c>
      <c r="Q46" s="51">
        <f>SUM(a:b!Q46)</f>
        <v>762.35666666666668</v>
      </c>
      <c r="R46" s="51">
        <f>SUM(a:b!R46)</f>
        <v>750</v>
      </c>
      <c r="S46" s="51">
        <f t="shared" si="43"/>
        <v>8616.248333333333</v>
      </c>
      <c r="U46" s="51">
        <f>SUM(a:b!U46)</f>
        <v>718.02069444444442</v>
      </c>
      <c r="V46" s="51">
        <f>SUM(a:b!V46)</f>
        <v>718.02069444444442</v>
      </c>
      <c r="W46" s="51">
        <f>SUM(a:b!W46)</f>
        <v>718.02069444444442</v>
      </c>
      <c r="X46" s="51">
        <f>SUM(a:b!X46)</f>
        <v>718.02069444444442</v>
      </c>
      <c r="Y46" s="51">
        <f>SUM(a:b!Y46)</f>
        <v>718.02069444444442</v>
      </c>
      <c r="Z46" s="51">
        <f>SUM(a:b!Z46)</f>
        <v>718.02069444444442</v>
      </c>
      <c r="AA46" s="51">
        <f>SUM(a:b!AA46)</f>
        <v>718.02069444444442</v>
      </c>
      <c r="AB46" s="51">
        <f>SUM(a:b!AB46)</f>
        <v>718.02069444444442</v>
      </c>
      <c r="AC46" s="51">
        <f>SUM(a:b!AC46)</f>
        <v>718.02069444444442</v>
      </c>
      <c r="AD46" s="51">
        <f>SUM(a:b!AD46)</f>
        <v>718.02069444444442</v>
      </c>
      <c r="AE46" s="51">
        <f>SUM(a:b!AE46)</f>
        <v>718.02069444444442</v>
      </c>
      <c r="AF46" s="51">
        <f>SUM(a:b!AF46)</f>
        <v>718.02069444444442</v>
      </c>
      <c r="AG46" s="51">
        <f t="shared" si="44"/>
        <v>8616.248333333333</v>
      </c>
      <c r="AH46" s="397">
        <f t="shared" si="45"/>
        <v>0</v>
      </c>
    </row>
    <row r="47" spans="1:43" s="96" customFormat="1" outlineLevel="1">
      <c r="A47" s="42">
        <v>4570</v>
      </c>
      <c r="B47" s="43" t="s">
        <v>111</v>
      </c>
      <c r="C47" s="44">
        <v>68786.566666666666</v>
      </c>
      <c r="D47" s="44">
        <v>77248.5</v>
      </c>
      <c r="E47" s="44">
        <v>159840.16666666666</v>
      </c>
      <c r="G47" s="44">
        <f>investice!G69</f>
        <v>7080.7222222222217</v>
      </c>
      <c r="H47" s="44">
        <f>investice!H69</f>
        <v>11953.888888888889</v>
      </c>
      <c r="I47" s="44">
        <f>investice!I69</f>
        <v>11953.888888888889</v>
      </c>
      <c r="J47" s="44">
        <f>investice!J69</f>
        <v>11953.888888888889</v>
      </c>
      <c r="K47" s="44">
        <f>investice!K69</f>
        <v>12330.555555555555</v>
      </c>
      <c r="L47" s="44">
        <f>investice!L69</f>
        <v>12330.555555555555</v>
      </c>
      <c r="M47" s="44">
        <f>investice!M69</f>
        <v>12330.555555555555</v>
      </c>
      <c r="N47" s="44">
        <f>investice!N69</f>
        <v>12330.555555555555</v>
      </c>
      <c r="O47" s="44">
        <f>investice!O69</f>
        <v>12330.555555555555</v>
      </c>
      <c r="P47" s="44">
        <f>investice!P69</f>
        <v>12330.555555555555</v>
      </c>
      <c r="Q47" s="44">
        <f>investice!Q69</f>
        <v>12330.555555555555</v>
      </c>
      <c r="R47" s="44">
        <f>investice!R69</f>
        <v>12326.055555555555</v>
      </c>
      <c r="S47" s="44">
        <f t="shared" si="43"/>
        <v>141582.33333333337</v>
      </c>
      <c r="U47" s="44">
        <f>SUM(a:b!U47)</f>
        <v>12326.055555555555</v>
      </c>
      <c r="V47" s="44">
        <f>SUM(a:b!V47)</f>
        <v>12326.055555555555</v>
      </c>
      <c r="W47" s="44">
        <f>SUM(a:b!W47)</f>
        <v>12326.055555555555</v>
      </c>
      <c r="X47" s="44">
        <f>SUM(a:b!X47)</f>
        <v>12326.055555555555</v>
      </c>
      <c r="Y47" s="44">
        <f>SUM(a:b!Y47)</f>
        <v>12326.055555555555</v>
      </c>
      <c r="Z47" s="44">
        <f>SUM(a:b!Z47)</f>
        <v>22048.277777777777</v>
      </c>
      <c r="AA47" s="44">
        <f>SUM(a:b!AA47)</f>
        <v>22048.277777777777</v>
      </c>
      <c r="AB47" s="44">
        <f>SUM(a:b!AB47)</f>
        <v>22048.277777777777</v>
      </c>
      <c r="AC47" s="44">
        <f>SUM(a:b!AC47)</f>
        <v>22048.277777777777</v>
      </c>
      <c r="AD47" s="44">
        <f>SUM(a:b!AD47)</f>
        <v>22048.277777777777</v>
      </c>
      <c r="AE47" s="44">
        <f>SUM(a:b!AE47)</f>
        <v>22048.277777777777</v>
      </c>
      <c r="AF47" s="44">
        <f>SUM(a:b!AF47)</f>
        <v>22048.277777777777</v>
      </c>
      <c r="AG47" s="44">
        <f t="shared" si="44"/>
        <v>215968.22222222222</v>
      </c>
      <c r="AH47" s="397">
        <f t="shared" si="45"/>
        <v>0.52538962409779577</v>
      </c>
      <c r="AI47" s="96" t="s">
        <v>258</v>
      </c>
    </row>
    <row r="48" spans="1:43" s="96" customFormat="1">
      <c r="A48" s="57">
        <v>9400</v>
      </c>
      <c r="B48" s="57" t="s">
        <v>112</v>
      </c>
      <c r="C48" s="41">
        <f t="shared" ref="C48:F48" si="52">SUM(C40:C47)</f>
        <v>247872.66499999998</v>
      </c>
      <c r="D48" s="41">
        <f t="shared" si="52"/>
        <v>275433.09333333332</v>
      </c>
      <c r="E48" s="41">
        <f t="shared" si="52"/>
        <v>357247.83833333332</v>
      </c>
      <c r="F48" s="41">
        <f t="shared" si="52"/>
        <v>0</v>
      </c>
      <c r="G48" s="41">
        <f t="shared" ref="G48:R48" si="53">SUM(G40:G47)</f>
        <v>15037.525555555556</v>
      </c>
      <c r="H48" s="41">
        <f t="shared" si="53"/>
        <v>14667.490555555556</v>
      </c>
      <c r="I48" s="41">
        <f t="shared" si="53"/>
        <v>36484.740555555552</v>
      </c>
      <c r="J48" s="41">
        <f t="shared" si="53"/>
        <v>14702.697222222221</v>
      </c>
      <c r="K48" s="41">
        <f t="shared" si="53"/>
        <v>18796.08222222222</v>
      </c>
      <c r="L48" s="41">
        <f t="shared" si="53"/>
        <v>41693.632222222222</v>
      </c>
      <c r="M48" s="41">
        <f t="shared" si="53"/>
        <v>43487.348888888882</v>
      </c>
      <c r="N48" s="41">
        <f t="shared" si="53"/>
        <v>31011.15388888889</v>
      </c>
      <c r="O48" s="41">
        <f t="shared" si="53"/>
        <v>36234.848888888882</v>
      </c>
      <c r="P48" s="41">
        <f t="shared" si="53"/>
        <v>16840.368888888886</v>
      </c>
      <c r="Q48" s="41">
        <f t="shared" si="53"/>
        <v>23156.222222222219</v>
      </c>
      <c r="R48" s="41">
        <f t="shared" si="53"/>
        <v>15742.722222222223</v>
      </c>
      <c r="S48" s="41">
        <f t="shared" si="43"/>
        <v>307854.83333333337</v>
      </c>
      <c r="U48" s="41">
        <f t="shared" ref="U48:AF48" si="54">SUM(U40:U47)</f>
        <v>28340.940347222218</v>
      </c>
      <c r="V48" s="41">
        <f t="shared" si="54"/>
        <v>28340.940347222218</v>
      </c>
      <c r="W48" s="41">
        <f t="shared" si="54"/>
        <v>28340.940347222218</v>
      </c>
      <c r="X48" s="41">
        <f t="shared" si="54"/>
        <v>28340.940347222218</v>
      </c>
      <c r="Y48" s="41">
        <f t="shared" si="54"/>
        <v>28340.940347222218</v>
      </c>
      <c r="Z48" s="41">
        <f t="shared" si="54"/>
        <v>38063.162569444437</v>
      </c>
      <c r="AA48" s="41">
        <f t="shared" si="54"/>
        <v>38063.162569444437</v>
      </c>
      <c r="AB48" s="41">
        <f t="shared" si="54"/>
        <v>38063.162569444437</v>
      </c>
      <c r="AC48" s="41">
        <f t="shared" si="54"/>
        <v>38063.162569444437</v>
      </c>
      <c r="AD48" s="41">
        <f t="shared" si="54"/>
        <v>38063.162569444437</v>
      </c>
      <c r="AE48" s="41">
        <f t="shared" si="54"/>
        <v>38063.162569444437</v>
      </c>
      <c r="AF48" s="41">
        <f t="shared" si="54"/>
        <v>38063.162569444437</v>
      </c>
      <c r="AG48" s="41">
        <f t="shared" si="44"/>
        <v>408146.83972222224</v>
      </c>
      <c r="AH48" s="397">
        <f t="shared" si="45"/>
        <v>0.32577694266796375</v>
      </c>
    </row>
    <row r="49" spans="1:35" s="100" customFormat="1" ht="26.1" customHeight="1" outlineLevel="1">
      <c r="A49" s="42">
        <v>5000</v>
      </c>
      <c r="B49" s="43" t="s">
        <v>113</v>
      </c>
      <c r="C49" s="51">
        <v>63968.829999999994</v>
      </c>
      <c r="D49" s="51">
        <v>70039.896666666667</v>
      </c>
      <c r="E49" s="51">
        <v>84777.823333333334</v>
      </c>
      <c r="G49" s="51">
        <v>1900.8400000000001</v>
      </c>
      <c r="H49" s="51">
        <v>1190.3033333333335</v>
      </c>
      <c r="I49" s="51">
        <v>3930.5583333333329</v>
      </c>
      <c r="J49" s="51">
        <v>6196</v>
      </c>
      <c r="K49" s="51">
        <v>6857.166666666667</v>
      </c>
      <c r="L49" s="51">
        <v>10029.56</v>
      </c>
      <c r="M49" s="51">
        <v>14628.39</v>
      </c>
      <c r="N49" s="51">
        <v>6452</v>
      </c>
      <c r="O49" s="51">
        <v>14506.833333333334</v>
      </c>
      <c r="P49" s="51">
        <v>9438.2516666666652</v>
      </c>
      <c r="Q49" s="51">
        <v>6125.1166666666659</v>
      </c>
      <c r="R49" s="51">
        <v>3481.7999999999997</v>
      </c>
      <c r="S49" s="51">
        <f t="shared" si="43"/>
        <v>84736.819999999992</v>
      </c>
      <c r="T49" s="96"/>
      <c r="U49" s="51">
        <f>SUM(a:b!U49)</f>
        <v>777.43828811978324</v>
      </c>
      <c r="V49" s="51">
        <f>SUM(a:b!V49)</f>
        <v>848.0529302808776</v>
      </c>
      <c r="W49" s="51">
        <f>SUM(a:b!W49)</f>
        <v>9917.3178095205913</v>
      </c>
      <c r="X49" s="51">
        <f>SUM(a:b!X49)</f>
        <v>3803.5536045335884</v>
      </c>
      <c r="Y49" s="51">
        <f>SUM(a:b!Y49)</f>
        <v>6211.2417378914288</v>
      </c>
      <c r="Z49" s="51">
        <f>SUM(a:b!Z49)</f>
        <v>27371.14134607356</v>
      </c>
      <c r="AA49" s="51">
        <f>SUM(a:b!AA49)</f>
        <v>4049.908258243865</v>
      </c>
      <c r="AB49" s="51">
        <f>SUM(a:b!AB49)</f>
        <v>4533.1136314735431</v>
      </c>
      <c r="AC49" s="51">
        <f>SUM(a:b!AC49)</f>
        <v>3483.9717122932016</v>
      </c>
      <c r="AD49" s="51">
        <f>SUM(a:b!AD49)</f>
        <v>6648.3829733993052</v>
      </c>
      <c r="AE49" s="51">
        <f>SUM(a:b!AE49)</f>
        <v>5068.807652573928</v>
      </c>
      <c r="AF49" s="51">
        <f>SUM(a:b!AF49)</f>
        <v>864.55151839516839</v>
      </c>
      <c r="AG49" s="51">
        <f t="shared" si="44"/>
        <v>73577.481462798838</v>
      </c>
      <c r="AH49" s="397">
        <f t="shared" si="45"/>
        <v>-0.13169409162629842</v>
      </c>
    </row>
    <row r="50" spans="1:35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43"/>
        <v>0</v>
      </c>
      <c r="T50" s="96"/>
      <c r="U50" s="51">
        <f>SUM(a:b!U50)</f>
        <v>0</v>
      </c>
      <c r="V50" s="51">
        <f>SUM(a:b!V50)</f>
        <v>0</v>
      </c>
      <c r="W50" s="51">
        <f>SUM(a:b!W50)</f>
        <v>0</v>
      </c>
      <c r="X50" s="51">
        <f>SUM(a:b!X50)</f>
        <v>0</v>
      </c>
      <c r="Y50" s="51">
        <f>SUM(a:b!Y50)</f>
        <v>0</v>
      </c>
      <c r="Z50" s="51">
        <f>SUM(a:b!Z50)</f>
        <v>0</v>
      </c>
      <c r="AA50" s="51">
        <f>SUM(a:b!AA50)</f>
        <v>0</v>
      </c>
      <c r="AB50" s="51">
        <f>SUM(a:b!AB50)</f>
        <v>0</v>
      </c>
      <c r="AC50" s="51">
        <f>SUM(a:b!AC50)</f>
        <v>0</v>
      </c>
      <c r="AD50" s="51">
        <f>SUM(a:b!AD50)</f>
        <v>0</v>
      </c>
      <c r="AE50" s="51">
        <f>SUM(a:b!AE50)</f>
        <v>0</v>
      </c>
      <c r="AF50" s="51">
        <f>SUM(a:b!AF50)</f>
        <v>0</v>
      </c>
      <c r="AG50" s="51">
        <f t="shared" si="44"/>
        <v>0</v>
      </c>
      <c r="AH50" s="397" t="e">
        <f t="shared" si="45"/>
        <v>#DIV/0!</v>
      </c>
    </row>
    <row r="51" spans="1:35" s="100" customFormat="1" outlineLevel="1">
      <c r="A51" s="42">
        <v>5100</v>
      </c>
      <c r="B51" s="43" t="s">
        <v>60</v>
      </c>
      <c r="C51" s="51">
        <v>486192.60999999993</v>
      </c>
      <c r="D51" s="51">
        <v>385516.83666666667</v>
      </c>
      <c r="E51" s="51">
        <v>264891.02999999997</v>
      </c>
      <c r="G51" s="51">
        <v>2812.9583333333335</v>
      </c>
      <c r="H51" s="51">
        <v>2548.3983333333335</v>
      </c>
      <c r="I51" s="51">
        <v>4974.37</v>
      </c>
      <c r="J51" s="51">
        <v>7756.0183333333334</v>
      </c>
      <c r="K51" s="51">
        <v>9750.0616666666665</v>
      </c>
      <c r="L51" s="51">
        <v>5974.8766666666661</v>
      </c>
      <c r="M51" s="51">
        <v>4871.7249999999995</v>
      </c>
      <c r="N51" s="51">
        <v>7199.3</v>
      </c>
      <c r="O51" s="51">
        <v>3805.0483333333336</v>
      </c>
      <c r="P51" s="51">
        <v>1849.58</v>
      </c>
      <c r="Q51" s="51">
        <v>15747.654999999997</v>
      </c>
      <c r="R51" s="51">
        <v>-12975.33666666667</v>
      </c>
      <c r="S51" s="51">
        <f t="shared" si="43"/>
        <v>54314.654999999984</v>
      </c>
      <c r="T51" s="96"/>
      <c r="U51" s="51">
        <f>SUM(a:b!U51)</f>
        <v>22916.666666666668</v>
      </c>
      <c r="V51" s="51">
        <f>SUM(a:b!V51)</f>
        <v>62916.666666666672</v>
      </c>
      <c r="W51" s="51">
        <f>SUM(a:b!W51)</f>
        <v>82916.666666666657</v>
      </c>
      <c r="X51" s="51">
        <f>SUM(a:b!X51)</f>
        <v>22916.666666666668</v>
      </c>
      <c r="Y51" s="51">
        <f>SUM(a:b!Y51)</f>
        <v>332916.66666666663</v>
      </c>
      <c r="Z51" s="51">
        <f>SUM(a:b!Z51)</f>
        <v>22916.666666666668</v>
      </c>
      <c r="AA51" s="51">
        <f>SUM(a:b!AA51)</f>
        <v>22916.666666666668</v>
      </c>
      <c r="AB51" s="51">
        <f>SUM(a:b!AB51)</f>
        <v>22916.666666666668</v>
      </c>
      <c r="AC51" s="51">
        <f>SUM(a:b!AC51)</f>
        <v>22916.666666666668</v>
      </c>
      <c r="AD51" s="51">
        <f>SUM(a:b!AD51)</f>
        <v>22916.666666666668</v>
      </c>
      <c r="AE51" s="51">
        <f>SUM(a:b!AE51)</f>
        <v>22916.666666666668</v>
      </c>
      <c r="AF51" s="51">
        <f>SUM(a:b!AF51)</f>
        <v>82916.666666666672</v>
      </c>
      <c r="AG51" s="51">
        <f t="shared" si="44"/>
        <v>744999.99999999965</v>
      </c>
      <c r="AH51" s="397">
        <f t="shared" si="45"/>
        <v>12.716371760071013</v>
      </c>
    </row>
    <row r="52" spans="1:35" s="98" customFormat="1" outlineLevel="1">
      <c r="A52" s="42">
        <v>5150</v>
      </c>
      <c r="B52" s="43" t="s">
        <v>114</v>
      </c>
      <c r="C52" s="51">
        <v>-28103.255000000005</v>
      </c>
      <c r="D52" s="51">
        <v>172206.25833333333</v>
      </c>
      <c r="E52" s="51">
        <v>399507.41833333328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3.0000000000000002E-2</v>
      </c>
      <c r="N52" s="51">
        <v>3.333333333333334E-3</v>
      </c>
      <c r="O52" s="51">
        <v>293834.15000000002</v>
      </c>
      <c r="P52" s="51">
        <v>0</v>
      </c>
      <c r="Q52" s="51">
        <v>0</v>
      </c>
      <c r="R52" s="51">
        <v>-568.20666666666511</v>
      </c>
      <c r="S52" s="51">
        <f t="shared" si="43"/>
        <v>293265.97666666668</v>
      </c>
      <c r="T52" s="96"/>
      <c r="U52" s="51">
        <f>SUM(a:b!U52)</f>
        <v>0</v>
      </c>
      <c r="V52" s="51">
        <f>SUM(a:b!V52)</f>
        <v>0</v>
      </c>
      <c r="W52" s="51">
        <f>SUM(a:b!W52)</f>
        <v>0</v>
      </c>
      <c r="X52" s="51">
        <f>SUM(a:b!X52)</f>
        <v>0</v>
      </c>
      <c r="Y52" s="51">
        <f>SUM(a:b!Y52)</f>
        <v>0</v>
      </c>
      <c r="Z52" s="51">
        <f>SUM(a:b!Z52)</f>
        <v>0</v>
      </c>
      <c r="AA52" s="51">
        <f>SUM(a:b!AA52)</f>
        <v>0</v>
      </c>
      <c r="AB52" s="51">
        <f>SUM(a:b!AB52)</f>
        <v>0</v>
      </c>
      <c r="AC52" s="51">
        <f>SUM(a:b!AC52)</f>
        <v>0</v>
      </c>
      <c r="AD52" s="51">
        <f>SUM(a:b!AD52)</f>
        <v>0</v>
      </c>
      <c r="AE52" s="51">
        <f>SUM(a:b!AE52)</f>
        <v>0</v>
      </c>
      <c r="AF52" s="51">
        <f>SUM(a:b!AF52)</f>
        <v>0</v>
      </c>
      <c r="AG52" s="51">
        <f t="shared" si="44"/>
        <v>0</v>
      </c>
      <c r="AH52" s="397">
        <f t="shared" si="45"/>
        <v>-1</v>
      </c>
    </row>
    <row r="53" spans="1:35" s="98" customFormat="1" outlineLevel="1">
      <c r="A53" s="42">
        <v>5210</v>
      </c>
      <c r="B53" s="43" t="s">
        <v>115</v>
      </c>
      <c r="C53" s="51">
        <v>3082679.5</v>
      </c>
      <c r="D53" s="51">
        <v>3212204.66666666</v>
      </c>
      <c r="E53" s="51">
        <v>3432995.66666666</v>
      </c>
      <c r="G53" s="51">
        <v>332986.66666666599</v>
      </c>
      <c r="H53" s="51">
        <v>332743</v>
      </c>
      <c r="I53" s="51">
        <v>331078.16666666599</v>
      </c>
      <c r="J53" s="51">
        <v>329228.33333333302</v>
      </c>
      <c r="K53" s="51">
        <v>332202.5</v>
      </c>
      <c r="L53" s="51">
        <v>330449.83333333302</v>
      </c>
      <c r="M53" s="51">
        <v>332986.66666666599</v>
      </c>
      <c r="N53" s="51">
        <v>332743</v>
      </c>
      <c r="O53" s="51">
        <v>331078.16666666599</v>
      </c>
      <c r="P53" s="51">
        <v>329228.33333333302</v>
      </c>
      <c r="Q53" s="51">
        <v>332202.5</v>
      </c>
      <c r="R53" s="51">
        <v>330449.83333333302</v>
      </c>
      <c r="S53" s="51">
        <f t="shared" si="43"/>
        <v>3977376.9999999963</v>
      </c>
      <c r="T53" s="96"/>
      <c r="U53" s="51">
        <f>SUM(a:b!U53)</f>
        <v>331134</v>
      </c>
      <c r="V53" s="51">
        <f>SUM(a:b!V53)</f>
        <v>330584</v>
      </c>
      <c r="W53" s="51">
        <f>SUM(a:b!W53)</f>
        <v>330859</v>
      </c>
      <c r="X53" s="51">
        <f>SUM(a:b!X53)</f>
        <v>330584</v>
      </c>
      <c r="Y53" s="51">
        <f>SUM(a:b!Y53)</f>
        <v>330859</v>
      </c>
      <c r="Z53" s="51">
        <f>SUM(a:b!Z53)</f>
        <v>330859</v>
      </c>
      <c r="AA53" s="51">
        <f>SUM(a:b!AA53)</f>
        <v>330584</v>
      </c>
      <c r="AB53" s="51">
        <f>SUM(a:b!AB53)</f>
        <v>331409</v>
      </c>
      <c r="AC53" s="51">
        <f>SUM(a:b!AC53)</f>
        <v>330309</v>
      </c>
      <c r="AD53" s="51">
        <f>SUM(a:b!AD53)</f>
        <v>331409</v>
      </c>
      <c r="AE53" s="51">
        <f>SUM(a:b!AE53)</f>
        <v>331134</v>
      </c>
      <c r="AF53" s="51">
        <f>SUM(a:b!AF53)</f>
        <v>330034</v>
      </c>
      <c r="AG53" s="51">
        <f t="shared" si="44"/>
        <v>3969758</v>
      </c>
      <c r="AH53" s="397">
        <f t="shared" si="45"/>
        <v>-1.9155840645722622E-3</v>
      </c>
      <c r="AI53" s="98" t="s">
        <v>412</v>
      </c>
    </row>
    <row r="54" spans="1:35" s="96" customFormat="1" outlineLevel="1">
      <c r="A54" s="42">
        <v>5220</v>
      </c>
      <c r="B54" s="43" t="s">
        <v>59</v>
      </c>
      <c r="C54" s="51">
        <v>24268.773333333334</v>
      </c>
      <c r="D54" s="51">
        <v>14500.528333333335</v>
      </c>
      <c r="E54" s="51">
        <v>21646.32</v>
      </c>
      <c r="G54" s="51">
        <v>210</v>
      </c>
      <c r="H54" s="51">
        <v>816.66666666666663</v>
      </c>
      <c r="I54" s="51">
        <v>1120</v>
      </c>
      <c r="J54" s="51">
        <v>7433.333333333333</v>
      </c>
      <c r="K54" s="51">
        <v>0</v>
      </c>
      <c r="L54" s="51">
        <v>2700</v>
      </c>
      <c r="M54" s="51">
        <v>210</v>
      </c>
      <c r="N54" s="51">
        <v>1733.3333333333333</v>
      </c>
      <c r="O54" s="51">
        <v>2283.3333333333335</v>
      </c>
      <c r="P54" s="51">
        <v>210</v>
      </c>
      <c r="Q54" s="51">
        <v>9066.6666666666661</v>
      </c>
      <c r="R54" s="51">
        <v>3233.3333333333335</v>
      </c>
      <c r="S54" s="51">
        <f t="shared" si="43"/>
        <v>29016.666666666668</v>
      </c>
      <c r="U54" s="51">
        <f>SUM(a:b!U54)</f>
        <v>0</v>
      </c>
      <c r="V54" s="51">
        <f>SUM(a:b!V54)</f>
        <v>0</v>
      </c>
      <c r="W54" s="51">
        <f>SUM(a:b!W54)</f>
        <v>39000</v>
      </c>
      <c r="X54" s="51">
        <f>SUM(a:b!X54)</f>
        <v>0</v>
      </c>
      <c r="Y54" s="51">
        <f>SUM(a:b!Y54)</f>
        <v>57000</v>
      </c>
      <c r="Z54" s="51">
        <f>SUM(a:b!Z54)</f>
        <v>0</v>
      </c>
      <c r="AA54" s="51">
        <f>SUM(a:b!AA54)</f>
        <v>0</v>
      </c>
      <c r="AB54" s="51">
        <f>SUM(a:b!AB54)</f>
        <v>0</v>
      </c>
      <c r="AC54" s="51">
        <f>SUM(a:b!AC54)</f>
        <v>0</v>
      </c>
      <c r="AD54" s="51">
        <f>SUM(a:b!AD54)</f>
        <v>0</v>
      </c>
      <c r="AE54" s="51">
        <f>SUM(a:b!AE54)</f>
        <v>57000</v>
      </c>
      <c r="AF54" s="51">
        <f>SUM(a:b!AF54)</f>
        <v>0</v>
      </c>
      <c r="AG54" s="51">
        <f t="shared" si="44"/>
        <v>153000</v>
      </c>
      <c r="AH54" s="397">
        <f t="shared" si="45"/>
        <v>4.2728317059161398</v>
      </c>
    </row>
    <row r="55" spans="1:35" s="96" customFormat="1" outlineLevel="1">
      <c r="A55" s="42">
        <v>5230</v>
      </c>
      <c r="B55" s="43" t="s">
        <v>116</v>
      </c>
      <c r="C55" s="51">
        <v>54382.79</v>
      </c>
      <c r="D55" s="51">
        <v>58703.386666666665</v>
      </c>
      <c r="E55" s="51">
        <v>86017.468333333338</v>
      </c>
      <c r="G55" s="51">
        <v>3803.1366666666668</v>
      </c>
      <c r="H55" s="51">
        <v>2574.6633333333334</v>
      </c>
      <c r="I55" s="51">
        <v>3934.3583333333331</v>
      </c>
      <c r="J55" s="51">
        <v>4296.5350000000008</v>
      </c>
      <c r="K55" s="51">
        <v>7953.5750000000007</v>
      </c>
      <c r="L55" s="51">
        <v>2073.6316666666667</v>
      </c>
      <c r="M55" s="51">
        <v>5358.3783333333331</v>
      </c>
      <c r="N55" s="51">
        <v>14876.11</v>
      </c>
      <c r="O55" s="51">
        <v>11919.733333333335</v>
      </c>
      <c r="P55" s="51">
        <v>7472.9933333333329</v>
      </c>
      <c r="Q55" s="51">
        <v>7807.838333333334</v>
      </c>
      <c r="R55" s="51">
        <v>12298.503333333334</v>
      </c>
      <c r="S55" s="51">
        <f t="shared" si="43"/>
        <v>84369.456666666665</v>
      </c>
      <c r="U55" s="51">
        <f>SUM(a:b!U55)</f>
        <v>14003</v>
      </c>
      <c r="V55" s="51">
        <f>SUM(a:b!V55)</f>
        <v>14003</v>
      </c>
      <c r="W55" s="51">
        <f>SUM(a:b!W55)</f>
        <v>14003</v>
      </c>
      <c r="X55" s="51">
        <f>SUM(a:b!X55)</f>
        <v>14003</v>
      </c>
      <c r="Y55" s="51">
        <f>SUM(a:b!Y55)</f>
        <v>14003</v>
      </c>
      <c r="Z55" s="51">
        <f>SUM(a:b!Z55)</f>
        <v>14003</v>
      </c>
      <c r="AA55" s="51">
        <f>SUM(a:b!AA55)</f>
        <v>14003</v>
      </c>
      <c r="AB55" s="51">
        <f>SUM(a:b!AB55)</f>
        <v>14003</v>
      </c>
      <c r="AC55" s="51">
        <f>SUM(a:b!AC55)</f>
        <v>14003</v>
      </c>
      <c r="AD55" s="51">
        <f>SUM(a:b!AD55)</f>
        <v>14003</v>
      </c>
      <c r="AE55" s="51">
        <f>SUM(a:b!AE55)</f>
        <v>14003</v>
      </c>
      <c r="AF55" s="51">
        <f>SUM(a:b!AF55)</f>
        <v>14003</v>
      </c>
      <c r="AG55" s="51">
        <f t="shared" si="44"/>
        <v>168036</v>
      </c>
      <c r="AH55" s="397">
        <f t="shared" si="45"/>
        <v>0.99166862794778377</v>
      </c>
      <c r="AI55" s="96" t="s">
        <v>570</v>
      </c>
    </row>
    <row r="56" spans="1:35" s="96" customFormat="1" outlineLevel="1">
      <c r="A56" s="42">
        <v>5240</v>
      </c>
      <c r="B56" s="43" t="s">
        <v>117</v>
      </c>
      <c r="C56" s="51">
        <v>135333.88333333333</v>
      </c>
      <c r="D56" s="51">
        <v>148651.95499999999</v>
      </c>
      <c r="E56" s="51">
        <v>151121.40166666664</v>
      </c>
      <c r="G56" s="51">
        <v>5422.5283333333336</v>
      </c>
      <c r="H56" s="51">
        <v>12046.463333333333</v>
      </c>
      <c r="I56" s="51">
        <v>12096.778333333335</v>
      </c>
      <c r="J56" s="51">
        <v>21723.360000000001</v>
      </c>
      <c r="K56" s="51">
        <v>18140.203333333335</v>
      </c>
      <c r="L56" s="51">
        <v>21669.666666666668</v>
      </c>
      <c r="M56" s="51">
        <v>12238.983333333332</v>
      </c>
      <c r="N56" s="51">
        <v>17375.235000000001</v>
      </c>
      <c r="O56" s="51">
        <v>26469.38</v>
      </c>
      <c r="P56" s="51">
        <v>17142.87</v>
      </c>
      <c r="Q56" s="51">
        <v>15102.555</v>
      </c>
      <c r="R56" s="51">
        <v>20834.310000000001</v>
      </c>
      <c r="S56" s="51">
        <f t="shared" si="43"/>
        <v>200262.33333333334</v>
      </c>
      <c r="U56" s="51">
        <f>SUM(a:b!U56)</f>
        <v>24597.165289256198</v>
      </c>
      <c r="V56" s="51">
        <f>SUM(a:b!V56)</f>
        <v>18597.165289256198</v>
      </c>
      <c r="W56" s="51">
        <f>SUM(a:b!W56)</f>
        <v>18597.165289256198</v>
      </c>
      <c r="X56" s="51">
        <f>SUM(a:b!X56)</f>
        <v>18597.165289256198</v>
      </c>
      <c r="Y56" s="51">
        <f>SUM(a:b!Y56)</f>
        <v>18597.165289256198</v>
      </c>
      <c r="Z56" s="51">
        <f>SUM(a:b!Z56)</f>
        <v>18597.165289256198</v>
      </c>
      <c r="AA56" s="51">
        <f>SUM(a:b!AA56)</f>
        <v>18597.165289256198</v>
      </c>
      <c r="AB56" s="51">
        <f>SUM(a:b!AB56)</f>
        <v>18597.165289256198</v>
      </c>
      <c r="AC56" s="51">
        <f>SUM(a:b!AC56)</f>
        <v>18597.165289256198</v>
      </c>
      <c r="AD56" s="51">
        <f>SUM(a:b!AD56)</f>
        <v>18597.165289256198</v>
      </c>
      <c r="AE56" s="51">
        <f>SUM(a:b!AE56)</f>
        <v>18597.165289256198</v>
      </c>
      <c r="AF56" s="51">
        <f>SUM(a:b!AF56)</f>
        <v>18597.165289256198</v>
      </c>
      <c r="AG56" s="51">
        <f t="shared" si="44"/>
        <v>229165.98347107437</v>
      </c>
      <c r="AH56" s="397">
        <f t="shared" si="45"/>
        <v>0.14432893923008172</v>
      </c>
      <c r="AI56" s="96" t="s">
        <v>259</v>
      </c>
    </row>
    <row r="57" spans="1:35" s="96" customFormat="1" outlineLevel="1">
      <c r="A57" s="42">
        <v>5300</v>
      </c>
      <c r="B57" s="43" t="s">
        <v>15</v>
      </c>
      <c r="C57" s="51">
        <v>88898.333333333328</v>
      </c>
      <c r="D57" s="51">
        <v>86727.288333333345</v>
      </c>
      <c r="E57" s="51">
        <v>93093.310000000012</v>
      </c>
      <c r="G57" s="51">
        <f>'odb. sluzby'!E13</f>
        <v>25700</v>
      </c>
      <c r="H57" s="51">
        <f>'odb. sluzby'!F13</f>
        <v>25700</v>
      </c>
      <c r="I57" s="51">
        <f>'odb. sluzby'!G13</f>
        <v>25700</v>
      </c>
      <c r="J57" s="51">
        <f>'odb. sluzby'!H13</f>
        <v>25700</v>
      </c>
      <c r="K57" s="51">
        <f>'odb. sluzby'!I13</f>
        <v>25700</v>
      </c>
      <c r="L57" s="51">
        <f>'odb. sluzby'!J13</f>
        <v>25700</v>
      </c>
      <c r="M57" s="51">
        <f>'odb. sluzby'!K13</f>
        <v>25700</v>
      </c>
      <c r="N57" s="51">
        <f>'odb. sluzby'!L13</f>
        <v>25700</v>
      </c>
      <c r="O57" s="51">
        <f>'odb. sluzby'!M13</f>
        <v>25700</v>
      </c>
      <c r="P57" s="51">
        <f>'odb. sluzby'!N13</f>
        <v>25700</v>
      </c>
      <c r="Q57" s="51">
        <f>'odb. sluzby'!O13</f>
        <v>105700</v>
      </c>
      <c r="R57" s="51">
        <f>'odb. sluzby'!P13</f>
        <v>65700</v>
      </c>
      <c r="S57" s="51">
        <f t="shared" si="43"/>
        <v>428400</v>
      </c>
      <c r="U57" s="51">
        <f>SUM(a:b!U57)</f>
        <v>35200</v>
      </c>
      <c r="V57" s="51">
        <f>SUM(a:b!V57)</f>
        <v>35200</v>
      </c>
      <c r="W57" s="51">
        <f>SUM(a:b!W57)</f>
        <v>35200</v>
      </c>
      <c r="X57" s="51">
        <f>SUM(a:b!X57)</f>
        <v>35200</v>
      </c>
      <c r="Y57" s="51">
        <f>SUM(a:b!Y57)</f>
        <v>35200</v>
      </c>
      <c r="Z57" s="51">
        <f>SUM(a:b!Z57)</f>
        <v>55200</v>
      </c>
      <c r="AA57" s="51">
        <f>SUM(a:b!AA57)</f>
        <v>35200</v>
      </c>
      <c r="AB57" s="51">
        <f>SUM(a:b!AB57)</f>
        <v>35200</v>
      </c>
      <c r="AC57" s="51">
        <f>SUM(a:b!AC57)</f>
        <v>35200</v>
      </c>
      <c r="AD57" s="51">
        <f>SUM(a:b!AD57)</f>
        <v>35200</v>
      </c>
      <c r="AE57" s="51">
        <f>SUM(a:b!AE57)</f>
        <v>35200</v>
      </c>
      <c r="AF57" s="51">
        <f>SUM(a:b!AF57)</f>
        <v>55200</v>
      </c>
      <c r="AG57" s="51">
        <f t="shared" si="44"/>
        <v>462400</v>
      </c>
      <c r="AH57" s="397">
        <f t="shared" si="45"/>
        <v>7.9365079365079305E-2</v>
      </c>
    </row>
    <row r="58" spans="1:35" s="98" customFormat="1" outlineLevel="1">
      <c r="A58" s="42">
        <v>5400</v>
      </c>
      <c r="B58" s="43" t="s">
        <v>118</v>
      </c>
      <c r="C58" s="51">
        <v>41099.146666666667</v>
      </c>
      <c r="D58" s="51">
        <v>62869.049999999996</v>
      </c>
      <c r="E58" s="51">
        <v>59213.528333333328</v>
      </c>
      <c r="G58" s="51">
        <v>8676.7149999999983</v>
      </c>
      <c r="H58" s="51">
        <v>4101.7383333333337</v>
      </c>
      <c r="I58" s="51">
        <v>9995.8683333333338</v>
      </c>
      <c r="J58" s="51">
        <v>4647.7583333333341</v>
      </c>
      <c r="K58" s="51">
        <v>17262.048333333332</v>
      </c>
      <c r="L58" s="51">
        <v>5334.2349999999997</v>
      </c>
      <c r="M58" s="51">
        <v>9753.6716666666671</v>
      </c>
      <c r="N58" s="51">
        <v>4574.461666666667</v>
      </c>
      <c r="O58" s="51">
        <v>5327</v>
      </c>
      <c r="P58" s="51">
        <v>7474.835</v>
      </c>
      <c r="Q58" s="51">
        <v>23697.818333333333</v>
      </c>
      <c r="R58" s="51">
        <v>11799.201666666666</v>
      </c>
      <c r="S58" s="51">
        <f t="shared" si="43"/>
        <v>112645.35166666667</v>
      </c>
      <c r="T58" s="96"/>
      <c r="U58" s="51">
        <f>SUM(a:b!U58)</f>
        <v>57783</v>
      </c>
      <c r="V58" s="51">
        <f>SUM(a:b!V58)</f>
        <v>32783</v>
      </c>
      <c r="W58" s="51">
        <f>SUM(a:b!W58)</f>
        <v>32783</v>
      </c>
      <c r="X58" s="51">
        <f>SUM(a:b!X58)</f>
        <v>32783</v>
      </c>
      <c r="Y58" s="51">
        <f>SUM(a:b!Y58)</f>
        <v>32783</v>
      </c>
      <c r="Z58" s="51">
        <f>SUM(a:b!Z58)</f>
        <v>67783</v>
      </c>
      <c r="AA58" s="51">
        <f>SUM(a:b!AA58)</f>
        <v>62783</v>
      </c>
      <c r="AB58" s="51">
        <f>SUM(a:b!AB58)</f>
        <v>62783</v>
      </c>
      <c r="AC58" s="51">
        <f>SUM(a:b!AC58)</f>
        <v>62783</v>
      </c>
      <c r="AD58" s="51">
        <f>SUM(a:b!AD58)</f>
        <v>62783</v>
      </c>
      <c r="AE58" s="51">
        <f>SUM(a:b!AE58)</f>
        <v>62783</v>
      </c>
      <c r="AF58" s="51">
        <f>SUM(a:b!AF58)</f>
        <v>62783</v>
      </c>
      <c r="AG58" s="51">
        <f t="shared" si="44"/>
        <v>633396</v>
      </c>
      <c r="AH58" s="397">
        <f t="shared" si="45"/>
        <v>4.6229217684392978</v>
      </c>
    </row>
    <row r="59" spans="1:35" s="98" customFormat="1" outlineLevel="1">
      <c r="A59" s="42">
        <v>5600</v>
      </c>
      <c r="B59" s="43" t="s">
        <v>119</v>
      </c>
      <c r="C59" s="51">
        <v>14920.666666666666</v>
      </c>
      <c r="D59" s="51">
        <v>14920.666666666666</v>
      </c>
      <c r="E59" s="51">
        <v>14920.666666666666</v>
      </c>
      <c r="G59" s="51">
        <f>investice!G70</f>
        <v>6101.333333333333</v>
      </c>
      <c r="H59" s="51">
        <f>investice!H70</f>
        <v>6101.333333333333</v>
      </c>
      <c r="I59" s="51">
        <f>investice!I70</f>
        <v>6101.333333333333</v>
      </c>
      <c r="J59" s="51">
        <f>investice!J70</f>
        <v>6101.333333333333</v>
      </c>
      <c r="K59" s="51">
        <f>investice!K70</f>
        <v>6101.333333333333</v>
      </c>
      <c r="L59" s="51">
        <f>investice!L70</f>
        <v>6101.333333333333</v>
      </c>
      <c r="M59" s="51">
        <f>investice!M70</f>
        <v>6101.333333333333</v>
      </c>
      <c r="N59" s="51">
        <f>investice!N70</f>
        <v>6101.333333333333</v>
      </c>
      <c r="O59" s="51">
        <f>investice!O70</f>
        <v>6101.333333333333</v>
      </c>
      <c r="P59" s="51">
        <f>investice!P70</f>
        <v>6101.333333333333</v>
      </c>
      <c r="Q59" s="51">
        <f>investice!Q70</f>
        <v>6101.333333333333</v>
      </c>
      <c r="R59" s="51">
        <f>investice!R70</f>
        <v>6101.333333333333</v>
      </c>
      <c r="S59" s="51">
        <f t="shared" si="43"/>
        <v>73216</v>
      </c>
      <c r="T59" s="96"/>
      <c r="U59" s="51">
        <f>SUM(a:b!U59)</f>
        <v>6101.333333333333</v>
      </c>
      <c r="V59" s="51">
        <f>SUM(a:b!V59)</f>
        <v>6101.333333333333</v>
      </c>
      <c r="W59" s="51">
        <f>SUM(a:b!W59)</f>
        <v>26101.333333333332</v>
      </c>
      <c r="X59" s="51">
        <f>SUM(a:b!X59)</f>
        <v>26101.333333333332</v>
      </c>
      <c r="Y59" s="51">
        <f>SUM(a:b!Y59)</f>
        <v>26101.333333333332</v>
      </c>
      <c r="Z59" s="51">
        <f>SUM(a:b!Z59)</f>
        <v>26101.333333333332</v>
      </c>
      <c r="AA59" s="51">
        <f>SUM(a:b!AA59)</f>
        <v>26101.333333333332</v>
      </c>
      <c r="AB59" s="51">
        <f>SUM(a:b!AB59)</f>
        <v>26101.333333333332</v>
      </c>
      <c r="AC59" s="51">
        <f>SUM(a:b!AC59)</f>
        <v>26101.333333333332</v>
      </c>
      <c r="AD59" s="51">
        <f>SUM(a:b!AD59)</f>
        <v>26101.333333333332</v>
      </c>
      <c r="AE59" s="51">
        <f>SUM(a:b!AE59)</f>
        <v>26101.333333333332</v>
      </c>
      <c r="AF59" s="51">
        <f>SUM(a:b!AF59)</f>
        <v>26101.333333333332</v>
      </c>
      <c r="AG59" s="51">
        <f t="shared" si="44"/>
        <v>273216</v>
      </c>
      <c r="AH59" s="397">
        <f t="shared" si="45"/>
        <v>2.7316433566433567</v>
      </c>
    </row>
    <row r="60" spans="1:35" s="96" customFormat="1" outlineLevel="1">
      <c r="A60" s="42">
        <v>5800</v>
      </c>
      <c r="B60" s="43" t="s">
        <v>120</v>
      </c>
      <c r="C60" s="44">
        <v>185060.21333333329</v>
      </c>
      <c r="D60" s="44">
        <v>88548.20166666666</v>
      </c>
      <c r="E60" s="44">
        <v>132114.94999999998</v>
      </c>
      <c r="G60" s="44">
        <v>5392.1216666666669</v>
      </c>
      <c r="H60" s="44">
        <v>12285.151666666665</v>
      </c>
      <c r="I60" s="44">
        <v>11648.981666666668</v>
      </c>
      <c r="J60" s="44">
        <v>8149.2633333333333</v>
      </c>
      <c r="K60" s="44">
        <v>8085.8816666666671</v>
      </c>
      <c r="L60" s="44">
        <v>8226.7933333333331</v>
      </c>
      <c r="M60" s="44">
        <v>5387.9649999999992</v>
      </c>
      <c r="N60" s="44">
        <v>6187.5483333333332</v>
      </c>
      <c r="O60" s="44">
        <v>23912.634999999995</v>
      </c>
      <c r="P60" s="44">
        <v>18710.776666666668</v>
      </c>
      <c r="Q60" s="44">
        <v>9896.8550000000014</v>
      </c>
      <c r="R60" s="44">
        <v>18434.973333333335</v>
      </c>
      <c r="S60" s="44">
        <f t="shared" si="43"/>
        <v>136318.94666666666</v>
      </c>
      <c r="U60" s="44">
        <f>SUM(a:b!U60)</f>
        <v>58700</v>
      </c>
      <c r="V60" s="44">
        <f>SUM(a:b!V60)</f>
        <v>8700</v>
      </c>
      <c r="W60" s="44">
        <f>SUM(a:b!W60)</f>
        <v>8700</v>
      </c>
      <c r="X60" s="44">
        <f>SUM(a:b!X60)</f>
        <v>8700</v>
      </c>
      <c r="Y60" s="44">
        <f>SUM(a:b!Y60)</f>
        <v>8700</v>
      </c>
      <c r="Z60" s="44">
        <f>SUM(a:b!Z60)</f>
        <v>8700</v>
      </c>
      <c r="AA60" s="44">
        <f>SUM(a:b!AA60)</f>
        <v>8700</v>
      </c>
      <c r="AB60" s="44">
        <f>SUM(a:b!AB60)</f>
        <v>8700</v>
      </c>
      <c r="AC60" s="44">
        <f>SUM(a:b!AC60)</f>
        <v>8700</v>
      </c>
      <c r="AD60" s="44">
        <f>SUM(a:b!AD60)</f>
        <v>8700</v>
      </c>
      <c r="AE60" s="44">
        <f>SUM(a:b!AE60)</f>
        <v>8700</v>
      </c>
      <c r="AF60" s="44">
        <f>SUM(a:b!AF60)</f>
        <v>8700</v>
      </c>
      <c r="AG60" s="44">
        <f t="shared" si="44"/>
        <v>154400</v>
      </c>
      <c r="AH60" s="397">
        <f t="shared" si="45"/>
        <v>0.13263785978001996</v>
      </c>
    </row>
    <row r="61" spans="1:35" s="96" customFormat="1">
      <c r="A61" s="57">
        <v>9500</v>
      </c>
      <c r="B61" s="57" t="s">
        <v>121</v>
      </c>
      <c r="C61" s="41">
        <f t="shared" ref="C61:F61" si="55">SUM(C49:C60)</f>
        <v>4148701.4916666667</v>
      </c>
      <c r="D61" s="41">
        <f t="shared" si="55"/>
        <v>4314888.7349999938</v>
      </c>
      <c r="E61" s="41">
        <f t="shared" si="55"/>
        <v>4740299.5833333265</v>
      </c>
      <c r="F61" s="41">
        <f t="shared" si="55"/>
        <v>0</v>
      </c>
      <c r="G61" s="41">
        <f t="shared" ref="G61:R61" si="56">SUM(G49:G60)</f>
        <v>393006.29999999929</v>
      </c>
      <c r="H61" s="41">
        <f t="shared" si="56"/>
        <v>400107.71833333332</v>
      </c>
      <c r="I61" s="41">
        <f t="shared" si="56"/>
        <v>410580.41499999934</v>
      </c>
      <c r="J61" s="41">
        <f t="shared" si="56"/>
        <v>421231.93499999959</v>
      </c>
      <c r="K61" s="41">
        <f t="shared" si="56"/>
        <v>432052.76999999996</v>
      </c>
      <c r="L61" s="41">
        <f t="shared" si="56"/>
        <v>418259.92999999964</v>
      </c>
      <c r="M61" s="41">
        <f t="shared" si="56"/>
        <v>417237.14333333273</v>
      </c>
      <c r="N61" s="41">
        <f t="shared" si="56"/>
        <v>422942.32499999995</v>
      </c>
      <c r="O61" s="41">
        <f t="shared" si="56"/>
        <v>744937.6133333327</v>
      </c>
      <c r="P61" s="41">
        <f t="shared" si="56"/>
        <v>423328.97333333304</v>
      </c>
      <c r="Q61" s="41">
        <f t="shared" si="56"/>
        <v>531448.33833333338</v>
      </c>
      <c r="R61" s="41">
        <f t="shared" si="56"/>
        <v>458789.74499999965</v>
      </c>
      <c r="S61" s="41">
        <f t="shared" si="43"/>
        <v>5473923.2066666614</v>
      </c>
      <c r="U61" s="41">
        <f t="shared" ref="U61:AF61" si="57">SUM(U49:U60)</f>
        <v>551212.60357737588</v>
      </c>
      <c r="V61" s="41">
        <f t="shared" si="57"/>
        <v>509733.21821953706</v>
      </c>
      <c r="W61" s="41">
        <f t="shared" si="57"/>
        <v>598077.48309877689</v>
      </c>
      <c r="X61" s="41">
        <f t="shared" si="57"/>
        <v>492688.71889378974</v>
      </c>
      <c r="Y61" s="41">
        <f t="shared" si="57"/>
        <v>862371.40702714759</v>
      </c>
      <c r="Z61" s="41">
        <f t="shared" si="57"/>
        <v>571531.30663532985</v>
      </c>
      <c r="AA61" s="41">
        <f t="shared" si="57"/>
        <v>522935.07354750007</v>
      </c>
      <c r="AB61" s="41">
        <f t="shared" si="57"/>
        <v>524243.2789207297</v>
      </c>
      <c r="AC61" s="41">
        <f t="shared" si="57"/>
        <v>522094.13700154936</v>
      </c>
      <c r="AD61" s="41">
        <f t="shared" si="57"/>
        <v>526358.5482626555</v>
      </c>
      <c r="AE61" s="41">
        <f t="shared" si="57"/>
        <v>581503.97294183017</v>
      </c>
      <c r="AF61" s="41">
        <f t="shared" si="57"/>
        <v>599199.71680765145</v>
      </c>
      <c r="AG61" s="41">
        <f t="shared" si="44"/>
        <v>6861949.4649338741</v>
      </c>
      <c r="AH61" s="397">
        <f t="shared" si="45"/>
        <v>0.25357064866689094</v>
      </c>
    </row>
    <row r="62" spans="1:35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19158.628333333334</v>
      </c>
      <c r="G62" s="41">
        <v>0</v>
      </c>
      <c r="H62" s="41">
        <f>VLOOKUP($A62,[1]VZZ_trend_1!$A$1:$CA$76,H$1,FALSE)</f>
        <v>0</v>
      </c>
      <c r="I62" s="41">
        <f>VLOOKUP($A62,[1]VZZ_trend_1!$A$1:$CA$76,I$1,FALSE)</f>
        <v>0</v>
      </c>
      <c r="J62" s="41">
        <f>VLOOKUP($A62,[1]VZZ_trend_1!$A$1:$CA$76,J$1,FALSE)</f>
        <v>0</v>
      </c>
      <c r="K62" s="41">
        <f>VLOOKUP($A62,[1]VZZ_trend_1!$A$1:$CA$76,K$1,FALSE)</f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43"/>
        <v>0</v>
      </c>
      <c r="U62" s="41">
        <f>SUM(a:b!U62)</f>
        <v>0</v>
      </c>
      <c r="V62" s="41">
        <f>SUM(a:b!V62)</f>
        <v>0</v>
      </c>
      <c r="W62" s="41">
        <f>SUM(a:b!W62)</f>
        <v>0</v>
      </c>
      <c r="X62" s="41">
        <f>SUM(a:b!X62)</f>
        <v>0</v>
      </c>
      <c r="Y62" s="41">
        <f>SUM(a:b!Y62)</f>
        <v>0</v>
      </c>
      <c r="Z62" s="41">
        <f>SUM(a:b!Z62)</f>
        <v>0</v>
      </c>
      <c r="AA62" s="41">
        <f>SUM(a:b!AA62)</f>
        <v>0</v>
      </c>
      <c r="AB62" s="41">
        <f>SUM(a:b!AB62)</f>
        <v>0</v>
      </c>
      <c r="AC62" s="41">
        <f>SUM(a:b!AC62)</f>
        <v>0</v>
      </c>
      <c r="AD62" s="41">
        <f>SUM(a:b!AD62)</f>
        <v>0</v>
      </c>
      <c r="AE62" s="41">
        <f>SUM(a:b!AE62)</f>
        <v>0</v>
      </c>
      <c r="AF62" s="41">
        <f>SUM(a:b!AF62)</f>
        <v>0</v>
      </c>
      <c r="AG62" s="41">
        <f t="shared" si="44"/>
        <v>0</v>
      </c>
      <c r="AH62" s="397" t="e">
        <f t="shared" si="45"/>
        <v>#DIV/0!</v>
      </c>
    </row>
    <row r="63" spans="1:35" s="101" customFormat="1">
      <c r="A63" s="59">
        <v>5920</v>
      </c>
      <c r="B63" s="60" t="s">
        <v>4</v>
      </c>
      <c r="C63" s="61">
        <v>89808.421666666647</v>
      </c>
      <c r="D63" s="61">
        <v>79347.31</v>
      </c>
      <c r="E63" s="61">
        <v>3633.3033333333328</v>
      </c>
      <c r="G63" s="61">
        <v>12.95</v>
      </c>
      <c r="H63" s="61">
        <v>13.45</v>
      </c>
      <c r="I63" s="61">
        <v>99.34</v>
      </c>
      <c r="J63" s="61">
        <v>78.48</v>
      </c>
      <c r="K63" s="61">
        <v>3900.8199999999997</v>
      </c>
      <c r="L63" s="61">
        <v>193.64000000000001</v>
      </c>
      <c r="M63" s="61">
        <v>10.399999999999999</v>
      </c>
      <c r="N63" s="61">
        <v>388.07000000000005</v>
      </c>
      <c r="O63" s="61">
        <v>0</v>
      </c>
      <c r="P63" s="61">
        <v>0</v>
      </c>
      <c r="Q63" s="61">
        <v>0</v>
      </c>
      <c r="R63" s="61">
        <v>0</v>
      </c>
      <c r="S63" s="61">
        <f t="shared" si="43"/>
        <v>4697.1499999999996</v>
      </c>
      <c r="U63" s="61">
        <f>SUM(a:b!U63)</f>
        <v>0</v>
      </c>
      <c r="V63" s="61">
        <f>SUM(a:b!V63)</f>
        <v>0</v>
      </c>
      <c r="W63" s="61">
        <f>SUM(a:b!W63)</f>
        <v>0</v>
      </c>
      <c r="X63" s="61">
        <f>SUM(a:b!X63)</f>
        <v>0</v>
      </c>
      <c r="Y63" s="61">
        <f>SUM(a:b!Y63)</f>
        <v>0</v>
      </c>
      <c r="Z63" s="61">
        <f>SUM(a:b!Z63)</f>
        <v>0</v>
      </c>
      <c r="AA63" s="61">
        <f>SUM(a:b!AA63)</f>
        <v>0</v>
      </c>
      <c r="AB63" s="61">
        <f>SUM(a:b!AB63)</f>
        <v>0</v>
      </c>
      <c r="AC63" s="61">
        <f>SUM(a:b!AC63)</f>
        <v>0</v>
      </c>
      <c r="AD63" s="61">
        <f>SUM(a:b!AD63)</f>
        <v>0</v>
      </c>
      <c r="AE63" s="61">
        <f>SUM(a:b!AE63)</f>
        <v>0</v>
      </c>
      <c r="AF63" s="61">
        <f>SUM(a:b!AF63)</f>
        <v>0</v>
      </c>
      <c r="AG63" s="61">
        <f t="shared" si="44"/>
        <v>0</v>
      </c>
      <c r="AH63" s="397">
        <f t="shared" si="45"/>
        <v>-1</v>
      </c>
      <c r="AI63" s="101" t="s">
        <v>413</v>
      </c>
    </row>
    <row r="64" spans="1:35" s="96" customFormat="1">
      <c r="A64" s="59">
        <v>9600</v>
      </c>
      <c r="B64" s="62" t="s">
        <v>122</v>
      </c>
      <c r="C64" s="63">
        <f t="shared" ref="C64:F64" si="58">C27-C48-C39-C61+C63-C62</f>
        <v>3164054.9266666365</v>
      </c>
      <c r="D64" s="63">
        <f t="shared" si="58"/>
        <v>3404093.8077944503</v>
      </c>
      <c r="E64" s="63">
        <f t="shared" si="58"/>
        <v>3469332.9134888966</v>
      </c>
      <c r="F64" s="63">
        <f t="shared" si="58"/>
        <v>-8</v>
      </c>
      <c r="G64" s="63">
        <f t="shared" ref="G64:R64" si="59">G27-G48-G39-G61+G63-G62</f>
        <v>115025.14243971922</v>
      </c>
      <c r="H64" s="63">
        <f t="shared" si="59"/>
        <v>134327.01187525154</v>
      </c>
      <c r="I64" s="63">
        <f t="shared" si="59"/>
        <v>419026.61682713527</v>
      </c>
      <c r="J64" s="63">
        <f t="shared" si="59"/>
        <v>573800.47356182896</v>
      </c>
      <c r="K64" s="63">
        <f t="shared" si="59"/>
        <v>385091.54553211294</v>
      </c>
      <c r="L64" s="63">
        <f t="shared" si="59"/>
        <v>437129.13397525862</v>
      </c>
      <c r="M64" s="63">
        <f t="shared" si="59"/>
        <v>285445.21423230995</v>
      </c>
      <c r="N64" s="63">
        <f t="shared" si="59"/>
        <v>532456.8183469011</v>
      </c>
      <c r="O64" s="63">
        <f t="shared" si="59"/>
        <v>107758.81314532307</v>
      </c>
      <c r="P64" s="63">
        <f t="shared" si="59"/>
        <v>341500.09758338134</v>
      </c>
      <c r="Q64" s="63">
        <f t="shared" si="59"/>
        <v>93017.557919661165</v>
      </c>
      <c r="R64" s="63">
        <f t="shared" si="59"/>
        <v>115499.53475259093</v>
      </c>
      <c r="S64" s="63">
        <f t="shared" si="43"/>
        <v>3540077.9601914738</v>
      </c>
      <c r="U64" s="63">
        <f t="shared" ref="U64:AF64" si="60">U27-U48-U39-U61+U63-U62</f>
        <v>-1754306.7399899187</v>
      </c>
      <c r="V64" s="63">
        <f t="shared" si="60"/>
        <v>-1154520.4621407003</v>
      </c>
      <c r="W64" s="63">
        <f t="shared" si="60"/>
        <v>1230637.9736800394</v>
      </c>
      <c r="X64" s="63">
        <f t="shared" si="60"/>
        <v>-768830.04381431337</v>
      </c>
      <c r="Y64" s="63">
        <f t="shared" si="60"/>
        <v>-897878.28608965373</v>
      </c>
      <c r="Z64" s="63">
        <f t="shared" si="60"/>
        <v>2340489.2938363049</v>
      </c>
      <c r="AA64" s="63">
        <f t="shared" si="60"/>
        <v>-804861.93364715064</v>
      </c>
      <c r="AB64" s="63">
        <f t="shared" si="60"/>
        <v>1592023.8926492711</v>
      </c>
      <c r="AC64" s="63">
        <f t="shared" si="60"/>
        <v>1610477.3620231273</v>
      </c>
      <c r="AD64" s="63">
        <f t="shared" si="60"/>
        <v>796384.22339848825</v>
      </c>
      <c r="AE64" s="63">
        <f t="shared" si="60"/>
        <v>-19927.674529258045</v>
      </c>
      <c r="AF64" s="63">
        <f t="shared" si="60"/>
        <v>-738891.76386627648</v>
      </c>
      <c r="AG64" s="63">
        <f t="shared" si="44"/>
        <v>1430795.8415099597</v>
      </c>
      <c r="AH64" s="397">
        <f t="shared" si="45"/>
        <v>-0.59582928466564855</v>
      </c>
    </row>
    <row r="65" spans="1:35" s="102" customFormat="1">
      <c r="A65" s="64">
        <v>9690</v>
      </c>
      <c r="B65" s="65" t="s">
        <v>123</v>
      </c>
      <c r="C65" s="66">
        <f t="shared" ref="C65:F65" si="61">C64/C10</f>
        <v>0.17168075748437064</v>
      </c>
      <c r="D65" s="66">
        <f t="shared" si="61"/>
        <v>0.1670348833010529</v>
      </c>
      <c r="E65" s="66">
        <f t="shared" si="61"/>
        <v>0.15555105230488589</v>
      </c>
      <c r="F65" s="66" t="e">
        <f t="shared" si="61"/>
        <v>#DIV/0!</v>
      </c>
      <c r="G65" s="66">
        <f t="shared" ref="G65:R65" si="62">G64/G10</f>
        <v>9.522950457009817E-2</v>
      </c>
      <c r="H65" s="66">
        <f t="shared" si="62"/>
        <v>9.8286930355091867E-2</v>
      </c>
      <c r="I65" s="66">
        <f t="shared" si="62"/>
        <v>0.18659169940975923</v>
      </c>
      <c r="J65" s="66">
        <f t="shared" si="62"/>
        <v>0.20794858047561407</v>
      </c>
      <c r="K65" s="66">
        <f t="shared" si="62"/>
        <v>0.16807730662812939</v>
      </c>
      <c r="L65" s="66">
        <f t="shared" si="62"/>
        <v>0.17992211602883679</v>
      </c>
      <c r="M65" s="66">
        <f t="shared" si="62"/>
        <v>0.14588144268119765</v>
      </c>
      <c r="N65" s="66">
        <f t="shared" si="62"/>
        <v>0.19826776128191714</v>
      </c>
      <c r="O65" s="66">
        <f t="shared" si="62"/>
        <v>4.8348020435851846E-2</v>
      </c>
      <c r="P65" s="66">
        <f t="shared" si="62"/>
        <v>0.16087853682297476</v>
      </c>
      <c r="Q65" s="66">
        <f t="shared" si="62"/>
        <v>5.6574084157266481E-2</v>
      </c>
      <c r="R65" s="66">
        <f t="shared" si="62"/>
        <v>7.9046390005791986E-2</v>
      </c>
      <c r="S65" s="66">
        <f>S64/S10</f>
        <v>0.14508878190007923</v>
      </c>
      <c r="U65" s="66">
        <f t="shared" ref="U65:AF65" si="63">U64/U10</f>
        <v>-10.213249854540978</v>
      </c>
      <c r="V65" s="66">
        <f t="shared" si="63"/>
        <v>-3.0610035211900519</v>
      </c>
      <c r="W65" s="66">
        <f t="shared" si="63"/>
        <v>0.36253424870641338</v>
      </c>
      <c r="X65" s="66">
        <f t="shared" si="63"/>
        <v>-0.75754180344624256</v>
      </c>
      <c r="Y65" s="66">
        <f t="shared" si="63"/>
        <v>-0.61005787839894354</v>
      </c>
      <c r="Z65" s="66">
        <f t="shared" si="63"/>
        <v>0.43154606370117737</v>
      </c>
      <c r="AA65" s="66">
        <f t="shared" si="63"/>
        <v>-0.77074689245959171</v>
      </c>
      <c r="AB65" s="66">
        <f t="shared" si="63"/>
        <v>0.45597095340986288</v>
      </c>
      <c r="AC65" s="66">
        <f t="shared" si="63"/>
        <v>0.47169073036421277</v>
      </c>
      <c r="AD65" s="66">
        <f t="shared" si="63"/>
        <v>0.28897992572673681</v>
      </c>
      <c r="AE65" s="66">
        <f t="shared" si="63"/>
        <v>-1.0801257585860589E-2</v>
      </c>
      <c r="AF65" s="66">
        <f t="shared" si="63"/>
        <v>-0.82058913808603917</v>
      </c>
      <c r="AG65" s="66">
        <f>AG64/AG10</f>
        <v>5.6542177682474916E-2</v>
      </c>
      <c r="AH65" s="397">
        <f t="shared" si="45"/>
        <v>-0.61029256058256265</v>
      </c>
    </row>
    <row r="66" spans="1:35" s="103" customFormat="1" ht="26.1" customHeight="1">
      <c r="A66" s="42">
        <v>6100</v>
      </c>
      <c r="B66" s="43" t="s">
        <v>12</v>
      </c>
      <c r="C66" s="67">
        <v>14825.825000000003</v>
      </c>
      <c r="D66" s="67">
        <v>44622.491666666669</v>
      </c>
      <c r="E66" s="67">
        <v>5884.4233333333332</v>
      </c>
      <c r="G66" s="67">
        <v>495.07500000000005</v>
      </c>
      <c r="H66" s="67">
        <v>296.68</v>
      </c>
      <c r="I66" s="67">
        <v>605.42666666666662</v>
      </c>
      <c r="J66" s="67">
        <v>2097.5633333333335</v>
      </c>
      <c r="K66" s="67">
        <v>678.21833333333336</v>
      </c>
      <c r="L66" s="67">
        <v>2916.6516666666666</v>
      </c>
      <c r="M66" s="67">
        <v>4837.7049999999999</v>
      </c>
      <c r="N66" s="67">
        <v>4046.6733333333336</v>
      </c>
      <c r="O66" s="67">
        <v>27070.901666666661</v>
      </c>
      <c r="P66" s="67">
        <v>13952.546666666667</v>
      </c>
      <c r="Q66" s="67">
        <v>6164.126666666667</v>
      </c>
      <c r="R66" s="67">
        <v>1779.675</v>
      </c>
      <c r="S66" s="67">
        <f>SUM(G66:R66)</f>
        <v>64941.243333333332</v>
      </c>
      <c r="U66" s="67">
        <f>SUM(a:b!U66)</f>
        <v>5333.333333333333</v>
      </c>
      <c r="V66" s="67">
        <f>SUM(a:b!V66)</f>
        <v>5333.333333333333</v>
      </c>
      <c r="W66" s="67">
        <f>SUM(a:b!W66)</f>
        <v>5333.333333333333</v>
      </c>
      <c r="X66" s="67">
        <f>SUM(a:b!X66)</f>
        <v>5333.333333333333</v>
      </c>
      <c r="Y66" s="67">
        <f>SUM(a:b!Y66)</f>
        <v>5333.333333333333</v>
      </c>
      <c r="Z66" s="67">
        <f>SUM(a:b!Z66)</f>
        <v>5333.333333333333</v>
      </c>
      <c r="AA66" s="67">
        <f>SUM(a:b!AA66)</f>
        <v>5333.333333333333</v>
      </c>
      <c r="AB66" s="67">
        <f>SUM(a:b!AB66)</f>
        <v>5333.333333333333</v>
      </c>
      <c r="AC66" s="67">
        <f>SUM(a:b!AC66)</f>
        <v>5333.333333333333</v>
      </c>
      <c r="AD66" s="67">
        <f>SUM(a:b!AD66)</f>
        <v>5333.333333333333</v>
      </c>
      <c r="AE66" s="67">
        <f>SUM(a:b!AE66)</f>
        <v>5333.333333333333</v>
      </c>
      <c r="AF66" s="67">
        <f>SUM(a:b!AF66)</f>
        <v>5333.333333333333</v>
      </c>
      <c r="AG66" s="67">
        <f>SUM(U66:AF66)</f>
        <v>64000.000000000007</v>
      </c>
      <c r="AH66" s="397">
        <f t="shared" si="45"/>
        <v>-1.4493768289930431E-2</v>
      </c>
      <c r="AI66" s="103" t="s">
        <v>260</v>
      </c>
    </row>
    <row r="67" spans="1:35" s="104" customFormat="1">
      <c r="A67" s="59">
        <v>6200</v>
      </c>
      <c r="B67" s="68" t="s">
        <v>13</v>
      </c>
      <c r="C67" s="69">
        <v>18627.88</v>
      </c>
      <c r="D67" s="69">
        <v>23372</v>
      </c>
      <c r="E67" s="69">
        <v>15462.468333333331</v>
      </c>
      <c r="G67" s="69">
        <v>0</v>
      </c>
      <c r="H67" s="69">
        <v>0.55833333333333324</v>
      </c>
      <c r="I67" s="69">
        <v>0</v>
      </c>
      <c r="J67" s="69">
        <v>5.6133333333333333</v>
      </c>
      <c r="K67" s="69">
        <v>482.5333333333333</v>
      </c>
      <c r="L67" s="69">
        <v>7569.7933333333322</v>
      </c>
      <c r="M67" s="69">
        <v>4227.2849999999999</v>
      </c>
      <c r="N67" s="69">
        <v>9891.7316666666666</v>
      </c>
      <c r="O67" s="69">
        <v>11154.055</v>
      </c>
      <c r="P67" s="69">
        <v>11302.026666666667</v>
      </c>
      <c r="Q67" s="69">
        <v>6419.0383333333339</v>
      </c>
      <c r="R67" s="69">
        <v>5776.206666666666</v>
      </c>
      <c r="S67" s="69">
        <f>SUM(G67:R67)</f>
        <v>56828.84166666666</v>
      </c>
      <c r="T67" s="101"/>
      <c r="U67" s="69">
        <f>SUM(a:b!U67)</f>
        <v>4666.666666666667</v>
      </c>
      <c r="V67" s="69">
        <f>SUM(a:b!V67)</f>
        <v>4666.666666666667</v>
      </c>
      <c r="W67" s="69">
        <f>SUM(a:b!W67)</f>
        <v>4666.666666666667</v>
      </c>
      <c r="X67" s="69">
        <f>SUM(a:b!X67)</f>
        <v>4666.666666666667</v>
      </c>
      <c r="Y67" s="69">
        <f>SUM(a:b!Y67)</f>
        <v>4666.666666666667</v>
      </c>
      <c r="Z67" s="69">
        <f>SUM(a:b!Z67)</f>
        <v>4666.666666666667</v>
      </c>
      <c r="AA67" s="69">
        <f>SUM(a:b!AA67)</f>
        <v>4666.666666666667</v>
      </c>
      <c r="AB67" s="69">
        <f>SUM(a:b!AB67)</f>
        <v>4666.666666666667</v>
      </c>
      <c r="AC67" s="69">
        <f>SUM(a:b!AC67)</f>
        <v>4666.666666666667</v>
      </c>
      <c r="AD67" s="69">
        <f>SUM(a:b!AD67)</f>
        <v>4666.666666666667</v>
      </c>
      <c r="AE67" s="69">
        <f>SUM(a:b!AE67)</f>
        <v>4666.666666666667</v>
      </c>
      <c r="AF67" s="69">
        <f>SUM(a:b!AF67)</f>
        <v>4666.666666666667</v>
      </c>
      <c r="AG67" s="69">
        <f>SUM(U67:AF67)</f>
        <v>55999.999999999993</v>
      </c>
      <c r="AH67" s="397">
        <f t="shared" si="45"/>
        <v>-1.4584877015940134E-2</v>
      </c>
      <c r="AI67" s="103" t="s">
        <v>260</v>
      </c>
    </row>
    <row r="68" spans="1:35" s="98" customFormat="1">
      <c r="A68" s="70">
        <v>9800</v>
      </c>
      <c r="B68" s="71" t="s">
        <v>124</v>
      </c>
      <c r="C68" s="72">
        <f t="shared" ref="C68:F68" si="64">C64-C66+C67</f>
        <v>3167856.9816666362</v>
      </c>
      <c r="D68" s="72">
        <f t="shared" si="64"/>
        <v>3382843.3161277836</v>
      </c>
      <c r="E68" s="72">
        <f t="shared" si="64"/>
        <v>3478910.9584888965</v>
      </c>
      <c r="F68" s="72">
        <f t="shared" si="64"/>
        <v>-8</v>
      </c>
      <c r="G68" s="72">
        <f t="shared" ref="G68:R68" si="65">G64-G66+G67</f>
        <v>114530.06743971922</v>
      </c>
      <c r="H68" s="72">
        <f t="shared" si="65"/>
        <v>134030.89020858487</v>
      </c>
      <c r="I68" s="72">
        <f t="shared" si="65"/>
        <v>418421.19016046857</v>
      </c>
      <c r="J68" s="72">
        <f t="shared" si="65"/>
        <v>571708.52356182889</v>
      </c>
      <c r="K68" s="72">
        <f t="shared" si="65"/>
        <v>384895.86053211294</v>
      </c>
      <c r="L68" s="72">
        <f t="shared" si="65"/>
        <v>441782.27564192528</v>
      </c>
      <c r="M68" s="72">
        <f t="shared" si="65"/>
        <v>284834.79423230991</v>
      </c>
      <c r="N68" s="72">
        <f t="shared" si="65"/>
        <v>538301.87668023445</v>
      </c>
      <c r="O68" s="72">
        <f t="shared" si="65"/>
        <v>91841.966478656424</v>
      </c>
      <c r="P68" s="72">
        <f t="shared" si="65"/>
        <v>338849.57758338132</v>
      </c>
      <c r="Q68" s="72">
        <f t="shared" si="65"/>
        <v>93272.469586327832</v>
      </c>
      <c r="R68" s="72">
        <f t="shared" si="65"/>
        <v>119496.06641925759</v>
      </c>
      <c r="S68" s="72">
        <f>SUM(G68:R68)</f>
        <v>3531965.5585248074</v>
      </c>
      <c r="T68" s="96"/>
      <c r="U68" s="72">
        <f t="shared" ref="U68:AF68" si="66">U64-U66+U67</f>
        <v>-1754973.4066565852</v>
      </c>
      <c r="V68" s="72">
        <f t="shared" si="66"/>
        <v>-1155187.1288073668</v>
      </c>
      <c r="W68" s="72">
        <f t="shared" si="66"/>
        <v>1229971.3070133729</v>
      </c>
      <c r="X68" s="72">
        <f t="shared" si="66"/>
        <v>-769496.71048098011</v>
      </c>
      <c r="Y68" s="72">
        <f t="shared" si="66"/>
        <v>-898544.95275632048</v>
      </c>
      <c r="Z68" s="72">
        <f t="shared" si="66"/>
        <v>2339822.6271696379</v>
      </c>
      <c r="AA68" s="72">
        <f t="shared" si="66"/>
        <v>-805528.60031381738</v>
      </c>
      <c r="AB68" s="72">
        <f t="shared" si="66"/>
        <v>1591357.2259826045</v>
      </c>
      <c r="AC68" s="72">
        <f t="shared" si="66"/>
        <v>1609810.6953564608</v>
      </c>
      <c r="AD68" s="72">
        <f t="shared" si="66"/>
        <v>795717.5567318215</v>
      </c>
      <c r="AE68" s="72">
        <f t="shared" si="66"/>
        <v>-20594.34119592471</v>
      </c>
      <c r="AF68" s="72">
        <f t="shared" si="66"/>
        <v>-739558.43053294322</v>
      </c>
      <c r="AG68" s="72">
        <f>SUM(U68:AF68)</f>
        <v>1422795.8415099594</v>
      </c>
      <c r="AH68" s="397">
        <f t="shared" si="45"/>
        <v>-0.59716599215530941</v>
      </c>
    </row>
    <row r="69" spans="1:35" s="106" customFormat="1" ht="26.1" customHeight="1">
      <c r="A69" s="73">
        <v>7100</v>
      </c>
      <c r="B69" s="74" t="s">
        <v>3</v>
      </c>
      <c r="C69" s="75">
        <f>0.2*C68</f>
        <v>633571.39633332728</v>
      </c>
      <c r="D69" s="75">
        <f>0.2*D68</f>
        <v>676568.66322555672</v>
      </c>
      <c r="E69" s="75">
        <f>0.2*E68</f>
        <v>695782.19169777934</v>
      </c>
      <c r="G69" s="75">
        <f>G68*G76</f>
        <v>22906.013487943845</v>
      </c>
      <c r="H69" s="75">
        <f t="shared" ref="H69:R69" si="67">H68*H76</f>
        <v>26806.178041716976</v>
      </c>
      <c r="I69" s="75">
        <f t="shared" si="67"/>
        <v>83684.238032093723</v>
      </c>
      <c r="J69" s="75">
        <f t="shared" si="67"/>
        <v>114341.70471236578</v>
      </c>
      <c r="K69" s="75">
        <f t="shared" si="67"/>
        <v>76979.172106422586</v>
      </c>
      <c r="L69" s="75">
        <f t="shared" si="67"/>
        <v>88356.45512838506</v>
      </c>
      <c r="M69" s="75">
        <f t="shared" si="67"/>
        <v>56966.958846461988</v>
      </c>
      <c r="N69" s="75">
        <f t="shared" si="67"/>
        <v>107660.3753360469</v>
      </c>
      <c r="O69" s="75">
        <f t="shared" si="67"/>
        <v>18368.393295731286</v>
      </c>
      <c r="P69" s="75">
        <f t="shared" si="67"/>
        <v>67769.915516676265</v>
      </c>
      <c r="Q69" s="75">
        <f t="shared" si="67"/>
        <v>18654.493917265569</v>
      </c>
      <c r="R69" s="75">
        <f t="shared" si="67"/>
        <v>23899.213283851521</v>
      </c>
      <c r="S69" s="75">
        <f>SUM(G69:R69)</f>
        <v>706393.11170496151</v>
      </c>
      <c r="T69" s="105"/>
      <c r="U69" s="75">
        <f t="shared" ref="U69:AF69" si="68">U68*U76</f>
        <v>-350994.68133131706</v>
      </c>
      <c r="V69" s="75">
        <f t="shared" si="68"/>
        <v>-231037.42576147337</v>
      </c>
      <c r="W69" s="75">
        <f t="shared" si="68"/>
        <v>245994.2614026746</v>
      </c>
      <c r="X69" s="75">
        <f t="shared" si="68"/>
        <v>-153899.34209619602</v>
      </c>
      <c r="Y69" s="75">
        <f t="shared" si="68"/>
        <v>-179708.99055126411</v>
      </c>
      <c r="Z69" s="75">
        <f t="shared" si="68"/>
        <v>467964.5254339276</v>
      </c>
      <c r="AA69" s="75">
        <f t="shared" si="68"/>
        <v>-161105.72006276349</v>
      </c>
      <c r="AB69" s="75">
        <f t="shared" si="68"/>
        <v>318271.44519652094</v>
      </c>
      <c r="AC69" s="75">
        <f t="shared" si="68"/>
        <v>321962.13907129219</v>
      </c>
      <c r="AD69" s="75">
        <f t="shared" si="68"/>
        <v>159143.51134636431</v>
      </c>
      <c r="AE69" s="75">
        <f t="shared" si="68"/>
        <v>-4118.8682391849425</v>
      </c>
      <c r="AF69" s="75">
        <f t="shared" si="68"/>
        <v>-147911.68610658866</v>
      </c>
      <c r="AG69" s="75">
        <f>SUM(U69:AF69)</f>
        <v>284559.16830199189</v>
      </c>
      <c r="AH69" s="397">
        <f t="shared" si="45"/>
        <v>-0.59716599215530941</v>
      </c>
    </row>
    <row r="70" spans="1:35" s="98" customFormat="1">
      <c r="A70" s="76">
        <v>9900</v>
      </c>
      <c r="B70" s="77" t="s">
        <v>125</v>
      </c>
      <c r="C70" s="78">
        <f t="shared" ref="C70:F70" si="69">C68-C69</f>
        <v>2534285.5853333091</v>
      </c>
      <c r="D70" s="78">
        <f t="shared" si="69"/>
        <v>2706274.6529022269</v>
      </c>
      <c r="E70" s="78">
        <f t="shared" si="69"/>
        <v>2783128.7667911174</v>
      </c>
      <c r="F70" s="78">
        <f t="shared" si="69"/>
        <v>-8</v>
      </c>
      <c r="G70" s="78">
        <f t="shared" ref="G70:R70" si="70">G68-G69</f>
        <v>91624.053951775379</v>
      </c>
      <c r="H70" s="78">
        <f t="shared" si="70"/>
        <v>107224.71216686789</v>
      </c>
      <c r="I70" s="78">
        <f t="shared" si="70"/>
        <v>334736.95212837483</v>
      </c>
      <c r="J70" s="78">
        <f t="shared" si="70"/>
        <v>457366.81884946313</v>
      </c>
      <c r="K70" s="78">
        <f t="shared" si="70"/>
        <v>307916.68842569034</v>
      </c>
      <c r="L70" s="78">
        <f t="shared" si="70"/>
        <v>353425.82051354024</v>
      </c>
      <c r="M70" s="78">
        <f t="shared" si="70"/>
        <v>227867.83538584792</v>
      </c>
      <c r="N70" s="78">
        <f t="shared" si="70"/>
        <v>430641.50134418753</v>
      </c>
      <c r="O70" s="78">
        <f t="shared" si="70"/>
        <v>73473.573182925145</v>
      </c>
      <c r="P70" s="78">
        <f t="shared" si="70"/>
        <v>271079.66206670506</v>
      </c>
      <c r="Q70" s="78">
        <f t="shared" si="70"/>
        <v>74617.97566906226</v>
      </c>
      <c r="R70" s="78">
        <f t="shared" si="70"/>
        <v>95596.853135406069</v>
      </c>
      <c r="S70" s="78">
        <f>SUM(G70:R70)</f>
        <v>2825572.4468198456</v>
      </c>
      <c r="T70" s="96"/>
      <c r="U70" s="78">
        <f t="shared" ref="U70:AF70" si="71">U68-U69</f>
        <v>-1403978.7253252682</v>
      </c>
      <c r="V70" s="78">
        <f t="shared" si="71"/>
        <v>-924149.70304589346</v>
      </c>
      <c r="W70" s="78">
        <f t="shared" si="71"/>
        <v>983977.04561069829</v>
      </c>
      <c r="X70" s="78">
        <f t="shared" si="71"/>
        <v>-615597.36838478409</v>
      </c>
      <c r="Y70" s="78">
        <f t="shared" si="71"/>
        <v>-718835.96220505633</v>
      </c>
      <c r="Z70" s="78">
        <f t="shared" si="71"/>
        <v>1871858.1017357104</v>
      </c>
      <c r="AA70" s="78">
        <f t="shared" si="71"/>
        <v>-644422.88025105395</v>
      </c>
      <c r="AB70" s="78">
        <f t="shared" si="71"/>
        <v>1273085.7807860835</v>
      </c>
      <c r="AC70" s="78">
        <f t="shared" si="71"/>
        <v>1287848.5562851685</v>
      </c>
      <c r="AD70" s="78">
        <f t="shared" si="71"/>
        <v>636574.04538545723</v>
      </c>
      <c r="AE70" s="78">
        <f t="shared" si="71"/>
        <v>-16475.472956739766</v>
      </c>
      <c r="AF70" s="78">
        <f t="shared" si="71"/>
        <v>-591646.74442635453</v>
      </c>
      <c r="AG70" s="78">
        <f>SUM(U70:AF70)</f>
        <v>1138236.6732079678</v>
      </c>
      <c r="AH70" s="397">
        <f t="shared" si="45"/>
        <v>-0.59716599215530919</v>
      </c>
    </row>
    <row r="71" spans="1:35" s="102" customFormat="1" ht="15.75" thickBot="1">
      <c r="A71" s="79">
        <v>9990</v>
      </c>
      <c r="B71" s="65" t="s">
        <v>126</v>
      </c>
      <c r="C71" s="80">
        <f t="shared" ref="C71:F71" si="72">C70/C10</f>
        <v>0.13750964476148136</v>
      </c>
      <c r="D71" s="80">
        <f t="shared" si="72"/>
        <v>0.13279371731562359</v>
      </c>
      <c r="E71" s="80">
        <f t="shared" si="72"/>
        <v>0.1247843949167155</v>
      </c>
      <c r="F71" s="80" t="e">
        <f t="shared" si="72"/>
        <v>#DIV/0!</v>
      </c>
      <c r="G71" s="80">
        <f t="shared" ref="G71:S71" si="73">G70/G10</f>
        <v>7.5855704930808121E-2</v>
      </c>
      <c r="H71" s="80">
        <f t="shared" si="73"/>
        <v>7.8456206759642697E-2</v>
      </c>
      <c r="I71" s="80">
        <f t="shared" si="73"/>
        <v>0.14905768331810648</v>
      </c>
      <c r="J71" s="80">
        <f t="shared" si="73"/>
        <v>0.16575235664413387</v>
      </c>
      <c r="K71" s="80">
        <f t="shared" si="73"/>
        <v>0.1343935182605227</v>
      </c>
      <c r="L71" s="80">
        <f t="shared" si="73"/>
        <v>0.14546987730546268</v>
      </c>
      <c r="M71" s="80">
        <f t="shared" si="73"/>
        <v>0.11645558204971469</v>
      </c>
      <c r="N71" s="80">
        <f t="shared" si="73"/>
        <v>0.16035540055939015</v>
      </c>
      <c r="O71" s="80">
        <f t="shared" si="73"/>
        <v>3.2965301993002676E-2</v>
      </c>
      <c r="P71" s="80">
        <f t="shared" si="73"/>
        <v>0.12770391488719807</v>
      </c>
      <c r="Q71" s="80">
        <f t="shared" si="73"/>
        <v>4.5383298912151968E-2</v>
      </c>
      <c r="R71" s="80">
        <f t="shared" si="73"/>
        <v>6.5425251733303741E-2</v>
      </c>
      <c r="S71" s="80">
        <f t="shared" si="73"/>
        <v>0.11580503850184819</v>
      </c>
      <c r="U71" s="80">
        <f t="shared" ref="U71:AG71" si="74">U70/U10</f>
        <v>-8.1737048518033539</v>
      </c>
      <c r="V71" s="80">
        <f t="shared" si="74"/>
        <v>-2.4502168544375911</v>
      </c>
      <c r="W71" s="80">
        <f t="shared" si="74"/>
        <v>0.28987028403495196</v>
      </c>
      <c r="X71" s="80">
        <f t="shared" si="74"/>
        <v>-0.60655894549771283</v>
      </c>
      <c r="Y71" s="80">
        <f t="shared" si="74"/>
        <v>-0.4884086727718151</v>
      </c>
      <c r="Z71" s="80">
        <f t="shared" si="74"/>
        <v>0.34513851344611252</v>
      </c>
      <c r="AA71" s="80">
        <f t="shared" si="74"/>
        <v>-0.61710824132615227</v>
      </c>
      <c r="AB71" s="80">
        <f t="shared" si="74"/>
        <v>0.36462401093213642</v>
      </c>
      <c r="AC71" s="80">
        <f t="shared" si="74"/>
        <v>0.37719637694846692</v>
      </c>
      <c r="AD71" s="80">
        <f t="shared" si="74"/>
        <v>0.23099041260516137</v>
      </c>
      <c r="AE71" s="80">
        <f t="shared" si="74"/>
        <v>-8.9300849927747249E-3</v>
      </c>
      <c r="AF71" s="80">
        <f t="shared" si="74"/>
        <v>-0.65706361310598971</v>
      </c>
      <c r="AG71" s="80">
        <f t="shared" si="74"/>
        <v>4.498082700136647E-2</v>
      </c>
      <c r="AH71" s="397">
        <f t="shared" si="45"/>
        <v>-0.61158143390584341</v>
      </c>
    </row>
    <row r="72" spans="1:35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397" t="e">
        <f t="shared" si="45"/>
        <v>#DIV/0!</v>
      </c>
    </row>
    <row r="73" spans="1:35" s="103" customFormat="1">
      <c r="A73" s="42">
        <v>9650</v>
      </c>
      <c r="B73" s="81" t="s">
        <v>127</v>
      </c>
      <c r="C73" s="75">
        <f t="shared" ref="C73:E73" si="75">SUM(C38,C47,C59)</f>
        <v>83707.233333333337</v>
      </c>
      <c r="D73" s="75">
        <f t="shared" si="75"/>
        <v>92169.166666666672</v>
      </c>
      <c r="E73" s="75">
        <f t="shared" si="75"/>
        <v>174760.83333333331</v>
      </c>
      <c r="G73" s="75">
        <f>SUM(G38,G47,G59)</f>
        <v>15917.722222222223</v>
      </c>
      <c r="H73" s="75">
        <f t="shared" ref="H73:R73" si="76">SUM(H38,H47,H59)</f>
        <v>20790.888888888887</v>
      </c>
      <c r="I73" s="75">
        <f t="shared" si="76"/>
        <v>20790.888888888887</v>
      </c>
      <c r="J73" s="75">
        <f t="shared" si="76"/>
        <v>22707.888888888887</v>
      </c>
      <c r="K73" s="75">
        <f t="shared" si="76"/>
        <v>23084.555555555551</v>
      </c>
      <c r="L73" s="75">
        <f t="shared" si="76"/>
        <v>23084.555555555551</v>
      </c>
      <c r="M73" s="75">
        <f t="shared" si="76"/>
        <v>23084.555555555551</v>
      </c>
      <c r="N73" s="75">
        <f t="shared" si="76"/>
        <v>23084.555555555551</v>
      </c>
      <c r="O73" s="75">
        <f t="shared" si="76"/>
        <v>23084.555555555551</v>
      </c>
      <c r="P73" s="75">
        <f t="shared" si="76"/>
        <v>23084.555555555551</v>
      </c>
      <c r="Q73" s="75">
        <f t="shared" si="76"/>
        <v>23084.555555555551</v>
      </c>
      <c r="R73" s="75">
        <f t="shared" si="76"/>
        <v>34736.388888888891</v>
      </c>
      <c r="S73" s="75">
        <f>SUM(G73:R73)</f>
        <v>276535.66666666669</v>
      </c>
      <c r="T73" s="105"/>
      <c r="U73" s="75">
        <f t="shared" ref="U73:AE73" si="77">SUM(U38,U47,U59)</f>
        <v>34736.388888888891</v>
      </c>
      <c r="V73" s="75">
        <f t="shared" si="77"/>
        <v>34736.388888888891</v>
      </c>
      <c r="W73" s="75">
        <f t="shared" si="77"/>
        <v>54736.388888888891</v>
      </c>
      <c r="X73" s="75">
        <f t="shared" si="77"/>
        <v>54736.388888888891</v>
      </c>
      <c r="Y73" s="75">
        <f t="shared" si="77"/>
        <v>54736.388888888891</v>
      </c>
      <c r="Z73" s="75">
        <f t="shared" si="77"/>
        <v>64458.611111111109</v>
      </c>
      <c r="AA73" s="75">
        <f t="shared" si="77"/>
        <v>64458.611111111109</v>
      </c>
      <c r="AB73" s="75">
        <f t="shared" si="77"/>
        <v>64458.611111111109</v>
      </c>
      <c r="AC73" s="75">
        <f t="shared" si="77"/>
        <v>67791.944444444438</v>
      </c>
      <c r="AD73" s="75">
        <f t="shared" si="77"/>
        <v>67791.944444444438</v>
      </c>
      <c r="AE73" s="75">
        <f t="shared" si="77"/>
        <v>67791.944444444438</v>
      </c>
      <c r="AF73" s="75">
        <f>SUM(AF38,AF47,AF59)</f>
        <v>67791.944444444438</v>
      </c>
      <c r="AG73" s="75">
        <f>SUM(U73:AF73)</f>
        <v>698225.55555555574</v>
      </c>
      <c r="AH73" s="397">
        <f t="shared" si="45"/>
        <v>1.5249023533632999</v>
      </c>
    </row>
    <row r="74" spans="1:35" s="108" customFormat="1">
      <c r="A74" s="82">
        <v>9700</v>
      </c>
      <c r="B74" s="83" t="s">
        <v>128</v>
      </c>
      <c r="C74" s="84">
        <f t="shared" ref="C74:F74" si="78">C64+C73</f>
        <v>3247762.1599999699</v>
      </c>
      <c r="D74" s="84">
        <f t="shared" si="78"/>
        <v>3496262.9744611168</v>
      </c>
      <c r="E74" s="84">
        <f t="shared" si="78"/>
        <v>3644093.7468222301</v>
      </c>
      <c r="F74" s="84">
        <f t="shared" si="78"/>
        <v>-8</v>
      </c>
      <c r="G74" s="84">
        <f t="shared" ref="G74:R74" si="79">G64+G73</f>
        <v>130942.86466194144</v>
      </c>
      <c r="H74" s="84">
        <f t="shared" si="79"/>
        <v>155117.90076414042</v>
      </c>
      <c r="I74" s="84">
        <f t="shared" si="79"/>
        <v>439817.50571602414</v>
      </c>
      <c r="J74" s="84">
        <f t="shared" si="79"/>
        <v>596508.36245071783</v>
      </c>
      <c r="K74" s="84">
        <f t="shared" si="79"/>
        <v>408176.1010876685</v>
      </c>
      <c r="L74" s="84">
        <f t="shared" si="79"/>
        <v>460213.68953081418</v>
      </c>
      <c r="M74" s="84">
        <f t="shared" si="79"/>
        <v>308529.76978786552</v>
      </c>
      <c r="N74" s="84">
        <f t="shared" si="79"/>
        <v>555541.3739024566</v>
      </c>
      <c r="O74" s="84">
        <f t="shared" si="79"/>
        <v>130843.36870087862</v>
      </c>
      <c r="P74" s="84">
        <f t="shared" si="79"/>
        <v>364584.6531389369</v>
      </c>
      <c r="Q74" s="84">
        <f t="shared" si="79"/>
        <v>116102.11347521671</v>
      </c>
      <c r="R74" s="84">
        <f t="shared" si="79"/>
        <v>150235.92364147981</v>
      </c>
      <c r="S74" s="84">
        <f>SUM(G74:R74)</f>
        <v>3816613.6268581413</v>
      </c>
      <c r="U74" s="84">
        <f t="shared" ref="U74:AF74" si="80">U64+U73</f>
        <v>-1719570.3511010297</v>
      </c>
      <c r="V74" s="84">
        <f t="shared" si="80"/>
        <v>-1119784.0732518113</v>
      </c>
      <c r="W74" s="84">
        <f t="shared" si="80"/>
        <v>1285374.3625689284</v>
      </c>
      <c r="X74" s="84">
        <f t="shared" si="80"/>
        <v>-714093.65492542449</v>
      </c>
      <c r="Y74" s="84">
        <f t="shared" si="80"/>
        <v>-843141.89720076486</v>
      </c>
      <c r="Z74" s="84">
        <f t="shared" si="80"/>
        <v>2404947.9049474159</v>
      </c>
      <c r="AA74" s="84">
        <f t="shared" si="80"/>
        <v>-740403.32253603952</v>
      </c>
      <c r="AB74" s="84">
        <f t="shared" si="80"/>
        <v>1656482.5037603821</v>
      </c>
      <c r="AC74" s="84">
        <f t="shared" si="80"/>
        <v>1678269.3064675718</v>
      </c>
      <c r="AD74" s="84">
        <f t="shared" si="80"/>
        <v>864176.16784293274</v>
      </c>
      <c r="AE74" s="84">
        <f t="shared" si="80"/>
        <v>47864.269915186393</v>
      </c>
      <c r="AF74" s="84">
        <f t="shared" si="80"/>
        <v>-671099.81942183198</v>
      </c>
      <c r="AG74" s="84">
        <f>SUM(U74:AF74)</f>
        <v>2129021.3970655147</v>
      </c>
    </row>
    <row r="75" spans="1:35" s="110" customFormat="1">
      <c r="A75" s="85">
        <v>9790</v>
      </c>
      <c r="B75" s="86" t="s">
        <v>129</v>
      </c>
      <c r="C75" s="56">
        <f t="shared" ref="C75:F75" si="81">C74/C10</f>
        <v>0.17622268913810699</v>
      </c>
      <c r="D75" s="56">
        <f t="shared" si="81"/>
        <v>0.17155751600960825</v>
      </c>
      <c r="E75" s="56">
        <f t="shared" si="81"/>
        <v>0.16338663113359542</v>
      </c>
      <c r="F75" s="56" t="e">
        <f t="shared" si="81"/>
        <v>#DIV/0!</v>
      </c>
      <c r="G75" s="56">
        <f t="shared" ref="G75" si="82">G74/G10</f>
        <v>0.10840781297255082</v>
      </c>
      <c r="H75" s="56">
        <v>0.24947394799502337</v>
      </c>
      <c r="I75" s="56">
        <v>0.24947394799502337</v>
      </c>
      <c r="J75" s="56">
        <v>0.24947394799502337</v>
      </c>
      <c r="K75" s="56">
        <v>0.24947394799502337</v>
      </c>
      <c r="L75" s="56">
        <v>0.24947394799502337</v>
      </c>
      <c r="M75" s="56">
        <f t="shared" ref="M75:S75" si="83">M74/M10</f>
        <v>0.15767918214288634</v>
      </c>
      <c r="N75" s="56">
        <f t="shared" si="83"/>
        <v>0.20686361918528259</v>
      </c>
      <c r="O75" s="56">
        <f t="shared" si="83"/>
        <v>5.8705340929419265E-2</v>
      </c>
      <c r="P75" s="56">
        <f t="shared" si="83"/>
        <v>0.17175352499213534</v>
      </c>
      <c r="Q75" s="56">
        <f t="shared" si="83"/>
        <v>7.0614310733211089E-2</v>
      </c>
      <c r="R75" s="56">
        <f t="shared" si="83"/>
        <v>0.10281952597024117</v>
      </c>
      <c r="S75" s="56">
        <f t="shared" si="83"/>
        <v>0.15642249360919172</v>
      </c>
      <c r="T75" s="109"/>
      <c r="U75" s="56">
        <f t="shared" ref="U75:AG75" si="84">U74/U10</f>
        <v>-10.011021013552336</v>
      </c>
      <c r="V75" s="56">
        <f t="shared" si="84"/>
        <v>-2.9689062286871857</v>
      </c>
      <c r="W75" s="56">
        <f t="shared" si="84"/>
        <v>0.37865906855363085</v>
      </c>
      <c r="X75" s="56">
        <f t="shared" si="84"/>
        <v>-0.70360907398719663</v>
      </c>
      <c r="Y75" s="56">
        <f t="shared" si="84"/>
        <v>-0.57286757566626245</v>
      </c>
      <c r="Z75" s="56">
        <f t="shared" si="84"/>
        <v>0.44343112549996483</v>
      </c>
      <c r="AA75" s="56">
        <f t="shared" si="84"/>
        <v>-0.70902043711460538</v>
      </c>
      <c r="AB75" s="56">
        <f t="shared" si="84"/>
        <v>0.47443251953303156</v>
      </c>
      <c r="AC75" s="56">
        <f t="shared" si="84"/>
        <v>0.49154622944905552</v>
      </c>
      <c r="AD75" s="56">
        <f t="shared" si="84"/>
        <v>0.31357924662592057</v>
      </c>
      <c r="AE75" s="56">
        <f t="shared" si="84"/>
        <v>2.5943534342355336E-2</v>
      </c>
      <c r="AF75" s="56">
        <f t="shared" si="84"/>
        <v>-0.74530161157503716</v>
      </c>
      <c r="AG75" s="56">
        <f t="shared" si="84"/>
        <v>8.4134649144373658E-2</v>
      </c>
    </row>
    <row r="76" spans="1:35" s="110" customFormat="1">
      <c r="A76" s="85"/>
      <c r="B76" s="86" t="s">
        <v>171</v>
      </c>
      <c r="C76" s="56">
        <f>C69/C68</f>
        <v>0.2</v>
      </c>
      <c r="D76" s="56">
        <f>D69/D68</f>
        <v>0.2</v>
      </c>
      <c r="E76" s="56">
        <f>E69/E68</f>
        <v>0.2</v>
      </c>
      <c r="G76" s="56">
        <f t="shared" ref="G76:K76" si="85">$E$76</f>
        <v>0.2</v>
      </c>
      <c r="H76" s="56">
        <f t="shared" si="85"/>
        <v>0.2</v>
      </c>
      <c r="I76" s="56">
        <f t="shared" si="85"/>
        <v>0.2</v>
      </c>
      <c r="J76" s="56">
        <f t="shared" si="85"/>
        <v>0.2</v>
      </c>
      <c r="K76" s="56">
        <f t="shared" si="85"/>
        <v>0.2</v>
      </c>
      <c r="L76" s="56">
        <f>$E$76</f>
        <v>0.2</v>
      </c>
      <c r="M76" s="56">
        <f t="shared" ref="M76:AG76" si="86">$E$76</f>
        <v>0.2</v>
      </c>
      <c r="N76" s="56">
        <f t="shared" si="86"/>
        <v>0.2</v>
      </c>
      <c r="O76" s="56">
        <f t="shared" si="86"/>
        <v>0.2</v>
      </c>
      <c r="P76" s="56">
        <f t="shared" si="86"/>
        <v>0.2</v>
      </c>
      <c r="Q76" s="56">
        <f t="shared" si="86"/>
        <v>0.2</v>
      </c>
      <c r="R76" s="56">
        <f t="shared" si="86"/>
        <v>0.2</v>
      </c>
      <c r="S76" s="56">
        <f t="shared" si="86"/>
        <v>0.2</v>
      </c>
      <c r="T76" s="56">
        <f t="shared" si="86"/>
        <v>0.2</v>
      </c>
      <c r="U76" s="56">
        <f t="shared" si="86"/>
        <v>0.2</v>
      </c>
      <c r="V76" s="56">
        <f t="shared" si="86"/>
        <v>0.2</v>
      </c>
      <c r="W76" s="56">
        <f t="shared" si="86"/>
        <v>0.2</v>
      </c>
      <c r="X76" s="56">
        <f t="shared" si="86"/>
        <v>0.2</v>
      </c>
      <c r="Y76" s="56">
        <f t="shared" si="86"/>
        <v>0.2</v>
      </c>
      <c r="Z76" s="56">
        <f t="shared" si="86"/>
        <v>0.2</v>
      </c>
      <c r="AA76" s="56">
        <f t="shared" si="86"/>
        <v>0.2</v>
      </c>
      <c r="AB76" s="56">
        <f t="shared" si="86"/>
        <v>0.2</v>
      </c>
      <c r="AC76" s="56">
        <f t="shared" si="86"/>
        <v>0.2</v>
      </c>
      <c r="AD76" s="56">
        <f t="shared" si="86"/>
        <v>0.2</v>
      </c>
      <c r="AE76" s="56">
        <f t="shared" si="86"/>
        <v>0.2</v>
      </c>
      <c r="AF76" s="56">
        <f t="shared" si="86"/>
        <v>0.2</v>
      </c>
      <c r="AG76" s="56">
        <f t="shared" si="86"/>
        <v>0.2</v>
      </c>
    </row>
    <row r="79" spans="1:35">
      <c r="C79" s="45">
        <v>6</v>
      </c>
    </row>
  </sheetData>
  <pageMargins left="1.1417322834645669" right="0.74803149606299213" top="0.98425196850393704" bottom="0.98425196850393704" header="0.51181102362204722" footer="0.51181102362204722"/>
  <pageSetup paperSize="9" scale="7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K52"/>
  <sheetViews>
    <sheetView showGridLines="0" zoomScale="120" zoomScaleNormal="120" zoomScalePageLayoutView="120" workbookViewId="0">
      <pane xSplit="2" ySplit="4" topLeftCell="Z5" activePane="bottomRight" state="frozen"/>
      <selection activeCell="D23" sqref="D23"/>
      <selection pane="topRight" activeCell="D23" sqref="D23"/>
      <selection pane="bottomLeft" activeCell="D23" sqref="D23"/>
      <selection pane="bottomRight" activeCell="AJ35" sqref="AJ35"/>
    </sheetView>
  </sheetViews>
  <sheetFormatPr defaultColWidth="10.85546875" defaultRowHeight="15" outlineLevelRow="1" outlineLevelCol="1"/>
  <cols>
    <col min="1" max="1" width="7.42578125" style="45" customWidth="1" outlineLevel="1"/>
    <col min="2" max="2" width="26.140625" style="45" customWidth="1"/>
    <col min="3" max="5" width="13.7109375" style="45" customWidth="1" outlineLevel="1"/>
    <col min="6" max="6" width="6" customWidth="1"/>
    <col min="7" max="7" width="13.28515625" style="45" hidden="1" customWidth="1" outlineLevel="1"/>
    <col min="8" max="8" width="14.42578125" style="45" hidden="1" customWidth="1" outlineLevel="1"/>
    <col min="9" max="9" width="13" style="45" hidden="1" customWidth="1" outlineLevel="1"/>
    <col min="10" max="10" width="12.28515625" style="45" hidden="1" customWidth="1" outlineLevel="1"/>
    <col min="11" max="11" width="12.140625" style="45" hidden="1" customWidth="1" outlineLevel="1"/>
    <col min="12" max="12" width="13.7109375" style="45" hidden="1" customWidth="1" outlineLevel="1"/>
    <col min="13" max="13" width="13.28515625" style="45" hidden="1" customWidth="1" outlineLevel="1"/>
    <col min="14" max="14" width="12.28515625" style="45" hidden="1" customWidth="1" outlineLevel="1"/>
    <col min="15" max="15" width="13.42578125" style="45" hidden="1" customWidth="1" outlineLevel="1"/>
    <col min="16" max="18" width="12.28515625" style="45" hidden="1" customWidth="1" outlineLevel="1"/>
    <col min="19" max="19" width="13.7109375" style="45" bestFit="1" customWidth="1" collapsed="1"/>
    <col min="20" max="20" width="5.85546875" style="45" customWidth="1"/>
    <col min="21" max="21" width="10.42578125" style="45" customWidth="1" outlineLevel="1"/>
    <col min="22" max="32" width="12.28515625" style="45" customWidth="1" outlineLevel="1"/>
    <col min="33" max="33" width="13.7109375" style="45" bestFit="1" customWidth="1"/>
    <col min="34" max="34" width="5.42578125" style="45" customWidth="1"/>
    <col min="35" max="35" width="16.28515625" style="45" customWidth="1"/>
    <col min="36" max="16384" width="10.85546875" style="45"/>
  </cols>
  <sheetData>
    <row r="1" spans="1:36" s="88" customFormat="1">
      <c r="A1" s="36"/>
      <c r="B1" s="37" t="s">
        <v>77</v>
      </c>
      <c r="G1" s="312">
        <v>68</v>
      </c>
      <c r="H1" s="312">
        <v>69</v>
      </c>
      <c r="I1" s="312">
        <v>70</v>
      </c>
      <c r="J1" s="312">
        <v>71</v>
      </c>
      <c r="K1" s="312">
        <v>72</v>
      </c>
      <c r="L1" s="312">
        <v>73</v>
      </c>
      <c r="M1" s="312">
        <v>74</v>
      </c>
      <c r="N1" s="312">
        <v>75</v>
      </c>
      <c r="O1" s="312">
        <v>76</v>
      </c>
      <c r="P1" s="312">
        <v>77</v>
      </c>
      <c r="Q1" s="312">
        <v>78</v>
      </c>
      <c r="R1" s="312">
        <v>79</v>
      </c>
    </row>
    <row r="2" spans="1:36" s="156" customFormat="1" ht="12.75">
      <c r="A2" s="153"/>
      <c r="B2" s="154">
        <v>6</v>
      </c>
      <c r="C2" s="155">
        <v>41974</v>
      </c>
      <c r="D2" s="155">
        <v>42339</v>
      </c>
      <c r="E2" s="155">
        <v>42705</v>
      </c>
      <c r="G2" s="155">
        <v>42736</v>
      </c>
      <c r="H2" s="155">
        <v>42767</v>
      </c>
      <c r="I2" s="155">
        <v>42795</v>
      </c>
      <c r="J2" s="155">
        <v>42826</v>
      </c>
      <c r="K2" s="155">
        <v>42856</v>
      </c>
      <c r="L2" s="155">
        <v>42887</v>
      </c>
      <c r="M2" s="155">
        <v>42917</v>
      </c>
      <c r="N2" s="155">
        <v>42948</v>
      </c>
      <c r="O2" s="155">
        <v>42979</v>
      </c>
      <c r="P2" s="155">
        <v>43009</v>
      </c>
      <c r="Q2" s="155">
        <v>43040</v>
      </c>
      <c r="R2" s="157">
        <v>43070</v>
      </c>
      <c r="S2" s="157">
        <v>43070</v>
      </c>
      <c r="T2" s="212">
        <v>2017</v>
      </c>
      <c r="U2" s="159">
        <v>43101</v>
      </c>
      <c r="V2" s="159">
        <v>43132</v>
      </c>
      <c r="W2" s="159">
        <v>43160</v>
      </c>
      <c r="X2" s="159">
        <v>43191</v>
      </c>
      <c r="Y2" s="159">
        <v>43221</v>
      </c>
      <c r="Z2" s="159">
        <v>43252</v>
      </c>
      <c r="AA2" s="159">
        <v>43282</v>
      </c>
      <c r="AB2" s="159">
        <v>43313</v>
      </c>
      <c r="AC2" s="159">
        <v>43344</v>
      </c>
      <c r="AD2" s="159">
        <v>43374</v>
      </c>
      <c r="AE2" s="159">
        <v>43405</v>
      </c>
      <c r="AF2" s="159">
        <v>43435</v>
      </c>
      <c r="AG2" s="160">
        <v>2018</v>
      </c>
      <c r="AH2" s="212">
        <v>2018</v>
      </c>
    </row>
    <row r="3" spans="1:36" s="156" customFormat="1" ht="12.75">
      <c r="A3" s="153"/>
      <c r="B3" s="161"/>
      <c r="C3" s="162" t="s">
        <v>0</v>
      </c>
      <c r="D3" s="162" t="s">
        <v>0</v>
      </c>
      <c r="E3" s="162" t="s">
        <v>0</v>
      </c>
      <c r="G3" s="162" t="s">
        <v>130</v>
      </c>
      <c r="H3" s="162" t="s">
        <v>130</v>
      </c>
      <c r="I3" s="162" t="s">
        <v>130</v>
      </c>
      <c r="J3" s="162" t="s">
        <v>130</v>
      </c>
      <c r="K3" s="162" t="s">
        <v>130</v>
      </c>
      <c r="L3" s="162" t="s">
        <v>130</v>
      </c>
      <c r="M3" s="162" t="s">
        <v>130</v>
      </c>
      <c r="N3" s="162" t="s">
        <v>130</v>
      </c>
      <c r="O3" s="162" t="s">
        <v>130</v>
      </c>
      <c r="P3" s="162" t="s">
        <v>130</v>
      </c>
      <c r="Q3" s="162" t="s">
        <v>130</v>
      </c>
      <c r="R3" s="163" t="s">
        <v>130</v>
      </c>
      <c r="S3" s="163" t="s">
        <v>0</v>
      </c>
      <c r="T3" s="158"/>
      <c r="U3" s="164" t="s">
        <v>130</v>
      </c>
      <c r="V3" s="164" t="s">
        <v>130</v>
      </c>
      <c r="W3" s="164" t="s">
        <v>130</v>
      </c>
      <c r="X3" s="164" t="s">
        <v>130</v>
      </c>
      <c r="Y3" s="164" t="s">
        <v>130</v>
      </c>
      <c r="Z3" s="164" t="s">
        <v>130</v>
      </c>
      <c r="AA3" s="164" t="s">
        <v>130</v>
      </c>
      <c r="AB3" s="164" t="s">
        <v>130</v>
      </c>
      <c r="AC3" s="164" t="s">
        <v>130</v>
      </c>
      <c r="AD3" s="164" t="s">
        <v>130</v>
      </c>
      <c r="AE3" s="164" t="s">
        <v>130</v>
      </c>
      <c r="AF3" s="164" t="s">
        <v>130</v>
      </c>
      <c r="AG3" s="164" t="s">
        <v>0</v>
      </c>
      <c r="AH3" s="158"/>
    </row>
    <row r="4" spans="1:36" s="156" customFormat="1" ht="12.75">
      <c r="A4" s="153"/>
      <c r="B4" s="154"/>
      <c r="C4" s="165" t="s">
        <v>79</v>
      </c>
      <c r="D4" s="165" t="s">
        <v>79</v>
      </c>
      <c r="E4" s="165" t="s">
        <v>79</v>
      </c>
      <c r="G4" s="165" t="s">
        <v>79</v>
      </c>
      <c r="H4" s="165" t="s">
        <v>79</v>
      </c>
      <c r="I4" s="165" t="s">
        <v>79</v>
      </c>
      <c r="J4" s="165" t="s">
        <v>79</v>
      </c>
      <c r="K4" s="165" t="s">
        <v>79</v>
      </c>
      <c r="L4" s="165" t="s">
        <v>79</v>
      </c>
      <c r="M4" s="165" t="s">
        <v>79</v>
      </c>
      <c r="N4" s="165" t="s">
        <v>79</v>
      </c>
      <c r="O4" s="165" t="s">
        <v>79</v>
      </c>
      <c r="P4" s="165" t="s">
        <v>79</v>
      </c>
      <c r="Q4" s="165" t="s">
        <v>79</v>
      </c>
      <c r="R4" s="166" t="s">
        <v>131</v>
      </c>
      <c r="S4" s="166" t="s">
        <v>131</v>
      </c>
      <c r="T4" s="158"/>
      <c r="U4" s="167" t="s">
        <v>132</v>
      </c>
      <c r="V4" s="167" t="s">
        <v>132</v>
      </c>
      <c r="W4" s="167" t="s">
        <v>132</v>
      </c>
      <c r="X4" s="167" t="s">
        <v>132</v>
      </c>
      <c r="Y4" s="167" t="s">
        <v>132</v>
      </c>
      <c r="Z4" s="167" t="s">
        <v>132</v>
      </c>
      <c r="AA4" s="167" t="s">
        <v>132</v>
      </c>
      <c r="AB4" s="167" t="s">
        <v>132</v>
      </c>
      <c r="AC4" s="167" t="s">
        <v>132</v>
      </c>
      <c r="AD4" s="167" t="s">
        <v>132</v>
      </c>
      <c r="AE4" s="167" t="s">
        <v>132</v>
      </c>
      <c r="AF4" s="167" t="s">
        <v>132</v>
      </c>
      <c r="AG4" s="167" t="s">
        <v>133</v>
      </c>
      <c r="AH4" s="158"/>
    </row>
    <row r="5" spans="1:36" s="171" customFormat="1" ht="12.75" outlineLevel="1">
      <c r="A5" s="168">
        <v>1100</v>
      </c>
      <c r="B5" s="169" t="s">
        <v>80</v>
      </c>
      <c r="C5" s="170">
        <f>'PLAN 2018'!C5</f>
        <v>4049850.081666667</v>
      </c>
      <c r="D5" s="170">
        <f>'PLAN 2018'!D5</f>
        <v>4459749.0949999997</v>
      </c>
      <c r="E5" s="170">
        <f>'PLAN 2018'!E5</f>
        <v>5298021.6833333327</v>
      </c>
      <c r="G5" s="170">
        <v>93334.693333333344</v>
      </c>
      <c r="H5" s="170">
        <v>209089.29333333336</v>
      </c>
      <c r="I5" s="170">
        <v>452888.69833333342</v>
      </c>
      <c r="J5" s="170">
        <v>1110330.5866666664</v>
      </c>
      <c r="K5" s="170">
        <v>444746.04666666687</v>
      </c>
      <c r="L5" s="170">
        <v>582478.37666666694</v>
      </c>
      <c r="M5" s="170">
        <v>326115.34833333269</v>
      </c>
      <c r="N5" s="170">
        <v>614413.97500000021</v>
      </c>
      <c r="O5" s="170">
        <v>302903.12833333388</v>
      </c>
      <c r="P5" s="170">
        <v>427273.48666666698</v>
      </c>
      <c r="Q5" s="170">
        <v>270546.43333333358</v>
      </c>
      <c r="R5" s="170">
        <v>232304.56500000009</v>
      </c>
      <c r="S5" s="170">
        <f>SUM(G5:R5)</f>
        <v>5066424.6316666678</v>
      </c>
      <c r="U5" s="170">
        <f t="shared" ref="U5:AF5" si="0">U48</f>
        <v>0</v>
      </c>
      <c r="V5" s="170">
        <f t="shared" si="0"/>
        <v>0</v>
      </c>
      <c r="W5" s="170">
        <f t="shared" si="0"/>
        <v>1000000</v>
      </c>
      <c r="X5" s="170">
        <f t="shared" si="0"/>
        <v>0</v>
      </c>
      <c r="Y5" s="170">
        <f t="shared" si="0"/>
        <v>0</v>
      </c>
      <c r="Z5" s="170">
        <f t="shared" si="0"/>
        <v>3300000</v>
      </c>
      <c r="AA5" s="170">
        <f t="shared" si="0"/>
        <v>0</v>
      </c>
      <c r="AB5" s="170">
        <f t="shared" si="0"/>
        <v>0</v>
      </c>
      <c r="AC5" s="170">
        <f t="shared" si="0"/>
        <v>0</v>
      </c>
      <c r="AD5" s="170">
        <f t="shared" si="0"/>
        <v>500000</v>
      </c>
      <c r="AE5" s="170">
        <f t="shared" si="0"/>
        <v>500000</v>
      </c>
      <c r="AF5" s="170">
        <f t="shared" si="0"/>
        <v>0</v>
      </c>
      <c r="AG5" s="170">
        <f>SUM(U5:AF5)</f>
        <v>5300000</v>
      </c>
      <c r="AJ5" s="172"/>
    </row>
    <row r="6" spans="1:36" s="171" customFormat="1" ht="12.75" outlineLevel="1">
      <c r="A6" s="173">
        <v>2110</v>
      </c>
      <c r="B6" s="174" t="s">
        <v>85</v>
      </c>
      <c r="C6" s="170">
        <f>'PLAN 2018'!C11</f>
        <v>1250767.7458333301</v>
      </c>
      <c r="D6" s="170">
        <f>'PLAN 2018'!D11</f>
        <v>1231549.92722222</v>
      </c>
      <c r="E6" s="170">
        <f>'PLAN 2018'!E11</f>
        <v>1275488.36611111</v>
      </c>
      <c r="F6" s="172">
        <f>E6/$E$5</f>
        <v>0.24074804565703789</v>
      </c>
      <c r="G6" s="170">
        <f>0.25*G5</f>
        <v>23333.673333333336</v>
      </c>
      <c r="H6" s="170">
        <f t="shared" ref="H6:S6" si="1">0.25*H5</f>
        <v>52272.323333333341</v>
      </c>
      <c r="I6" s="170">
        <f t="shared" si="1"/>
        <v>113222.17458333336</v>
      </c>
      <c r="J6" s="170">
        <f t="shared" si="1"/>
        <v>277582.64666666661</v>
      </c>
      <c r="K6" s="170">
        <f t="shared" si="1"/>
        <v>111186.51166666672</v>
      </c>
      <c r="L6" s="170">
        <f t="shared" si="1"/>
        <v>145619.59416666673</v>
      </c>
      <c r="M6" s="170">
        <f t="shared" si="1"/>
        <v>81528.837083333172</v>
      </c>
      <c r="N6" s="170">
        <f t="shared" si="1"/>
        <v>153603.49375000005</v>
      </c>
      <c r="O6" s="170">
        <f t="shared" si="1"/>
        <v>75725.78208333347</v>
      </c>
      <c r="P6" s="170">
        <f t="shared" si="1"/>
        <v>106818.37166666675</v>
      </c>
      <c r="Q6" s="170">
        <f t="shared" si="1"/>
        <v>67636.608333333395</v>
      </c>
      <c r="R6" s="170">
        <f t="shared" si="1"/>
        <v>58076.141250000022</v>
      </c>
      <c r="S6" s="170">
        <f t="shared" si="1"/>
        <v>1266606.1579166669</v>
      </c>
      <c r="T6" s="211">
        <f>SUM(G6:O6)/SUM($G$5:$O$5)</f>
        <v>0.25</v>
      </c>
      <c r="U6" s="170">
        <f t="shared" ref="U6:AF8" si="2">U$5*$AH6</f>
        <v>0</v>
      </c>
      <c r="V6" s="170">
        <f t="shared" si="2"/>
        <v>0</v>
      </c>
      <c r="W6" s="170">
        <f t="shared" si="2"/>
        <v>280000</v>
      </c>
      <c r="X6" s="170">
        <f t="shared" si="2"/>
        <v>0</v>
      </c>
      <c r="Y6" s="170">
        <f t="shared" si="2"/>
        <v>0</v>
      </c>
      <c r="Z6" s="170">
        <f t="shared" si="2"/>
        <v>924000.00000000012</v>
      </c>
      <c r="AA6" s="170">
        <f t="shared" si="2"/>
        <v>0</v>
      </c>
      <c r="AB6" s="170">
        <f t="shared" si="2"/>
        <v>0</v>
      </c>
      <c r="AC6" s="170">
        <f t="shared" si="2"/>
        <v>0</v>
      </c>
      <c r="AD6" s="170">
        <f t="shared" si="2"/>
        <v>140000</v>
      </c>
      <c r="AE6" s="170">
        <f t="shared" si="2"/>
        <v>140000</v>
      </c>
      <c r="AF6" s="170">
        <f t="shared" si="2"/>
        <v>0</v>
      </c>
      <c r="AG6" s="170">
        <f t="shared" ref="AG6:AG8" si="3">SUM(U6:AF6)</f>
        <v>1484000</v>
      </c>
      <c r="AH6" s="211">
        <v>0.28000000000000003</v>
      </c>
    </row>
    <row r="7" spans="1:36" s="171" customFormat="1" ht="12.75" outlineLevel="1">
      <c r="A7" s="173">
        <v>2120</v>
      </c>
      <c r="B7" s="174" t="s">
        <v>86</v>
      </c>
      <c r="C7" s="170">
        <f>'PLAN 2018'!C12</f>
        <v>1865182.1016666666</v>
      </c>
      <c r="D7" s="170">
        <f>'PLAN 2018'!D12</f>
        <v>2163546</v>
      </c>
      <c r="E7" s="170">
        <f>'PLAN 2018'!E12</f>
        <v>2371983.8333333335</v>
      </c>
      <c r="F7" s="172">
        <f t="shared" ref="F7:F8" si="4">E7/$E$5</f>
        <v>0.44771123545892377</v>
      </c>
      <c r="G7" s="170">
        <f>0.45*G5</f>
        <v>42000.612000000008</v>
      </c>
      <c r="H7" s="170">
        <f t="shared" ref="H7:S7" si="5">0.45*H5</f>
        <v>94090.182000000015</v>
      </c>
      <c r="I7" s="170">
        <f t="shared" si="5"/>
        <v>203799.91425000003</v>
      </c>
      <c r="J7" s="170">
        <f t="shared" si="5"/>
        <v>499648.76399999991</v>
      </c>
      <c r="K7" s="170">
        <f t="shared" si="5"/>
        <v>200135.72100000011</v>
      </c>
      <c r="L7" s="170">
        <f t="shared" si="5"/>
        <v>262115.26950000014</v>
      </c>
      <c r="M7" s="170">
        <f t="shared" si="5"/>
        <v>146751.9067499997</v>
      </c>
      <c r="N7" s="170">
        <f t="shared" si="5"/>
        <v>276486.28875000012</v>
      </c>
      <c r="O7" s="170">
        <f t="shared" si="5"/>
        <v>136306.40775000025</v>
      </c>
      <c r="P7" s="170">
        <f t="shared" si="5"/>
        <v>192273.06900000013</v>
      </c>
      <c r="Q7" s="170">
        <f t="shared" si="5"/>
        <v>121745.89500000012</v>
      </c>
      <c r="R7" s="170">
        <f t="shared" si="5"/>
        <v>104537.05425000004</v>
      </c>
      <c r="S7" s="170">
        <f t="shared" si="5"/>
        <v>2279891.0842500008</v>
      </c>
      <c r="T7" s="211">
        <f>SUM(G7:O7)/SUM($G$5:$O$5)</f>
        <v>0.45</v>
      </c>
      <c r="U7" s="170">
        <f>osobni!EE46</f>
        <v>221290.85000000003</v>
      </c>
      <c r="V7" s="170">
        <f>osobni!EF46</f>
        <v>220740.85000000003</v>
      </c>
      <c r="W7" s="170">
        <f>osobni!EG46</f>
        <v>221015.85000000003</v>
      </c>
      <c r="X7" s="170">
        <f>osobni!EH46</f>
        <v>220740.85000000003</v>
      </c>
      <c r="Y7" s="170">
        <f>osobni!EI46</f>
        <v>221015.85000000003</v>
      </c>
      <c r="Z7" s="170">
        <f>osobni!EJ46</f>
        <v>221015.85000000003</v>
      </c>
      <c r="AA7" s="170">
        <f>osobni!EK46</f>
        <v>220740.85000000003</v>
      </c>
      <c r="AB7" s="170">
        <f>osobni!EL46</f>
        <v>221565.85000000003</v>
      </c>
      <c r="AC7" s="170">
        <f>osobni!EM46</f>
        <v>220465.85000000003</v>
      </c>
      <c r="AD7" s="170">
        <f>osobni!EN46</f>
        <v>221565.85000000003</v>
      </c>
      <c r="AE7" s="170">
        <f>osobni!EO46</f>
        <v>221290.85000000003</v>
      </c>
      <c r="AF7" s="170">
        <f>osobni!EP46</f>
        <v>220190.85000000003</v>
      </c>
      <c r="AG7" s="459">
        <f t="shared" si="3"/>
        <v>2651640.2000000007</v>
      </c>
      <c r="AH7" s="211">
        <f>SUM(U7:AF7)/SUM($U$5:$AF$5)</f>
        <v>0.50030947169811335</v>
      </c>
    </row>
    <row r="8" spans="1:36" s="171" customFormat="1" ht="12.75" outlineLevel="1">
      <c r="A8" s="173">
        <v>2130</v>
      </c>
      <c r="B8" s="174" t="s">
        <v>87</v>
      </c>
      <c r="C8" s="175">
        <f>'PLAN 2018'!C13</f>
        <v>18768.338333333333</v>
      </c>
      <c r="D8" s="175">
        <f>'PLAN 2018'!D13</f>
        <v>86383.333333333328</v>
      </c>
      <c r="E8" s="175">
        <f>'PLAN 2018'!E13</f>
        <v>30086.666666666668</v>
      </c>
      <c r="F8" s="172">
        <f t="shared" si="4"/>
        <v>5.6788492884644395E-3</v>
      </c>
      <c r="G8" s="175">
        <v>2678.0516666666667</v>
      </c>
      <c r="H8" s="175">
        <v>31111.040000000005</v>
      </c>
      <c r="I8" s="175">
        <v>48244.619999999995</v>
      </c>
      <c r="J8" s="175">
        <v>26103.226666666684</v>
      </c>
      <c r="K8" s="175">
        <v>74296.354999999981</v>
      </c>
      <c r="L8" s="175">
        <v>64256.100000000013</v>
      </c>
      <c r="M8" s="175">
        <v>25668.806666666682</v>
      </c>
      <c r="N8" s="175">
        <v>57845.96166666667</v>
      </c>
      <c r="O8" s="175">
        <v>7728.3983333333163</v>
      </c>
      <c r="P8" s="175">
        <v>53821.638333333307</v>
      </c>
      <c r="Q8" s="175">
        <v>23806.5883333333</v>
      </c>
      <c r="R8" s="175">
        <v>1166.6666666666667</v>
      </c>
      <c r="S8" s="175">
        <f t="shared" ref="S8" si="6">SUM(G8:R8)</f>
        <v>416727.45333333331</v>
      </c>
      <c r="T8" s="211">
        <f>SUM(G8:O8)/SUM($G$5:$O$5)</f>
        <v>8.1699235552896418E-2</v>
      </c>
      <c r="U8" s="175">
        <f>U$5*$AH8</f>
        <v>0</v>
      </c>
      <c r="V8" s="175">
        <f t="shared" si="2"/>
        <v>0</v>
      </c>
      <c r="W8" s="175">
        <f t="shared" si="2"/>
        <v>80000</v>
      </c>
      <c r="X8" s="175">
        <f t="shared" si="2"/>
        <v>0</v>
      </c>
      <c r="Y8" s="175">
        <f t="shared" si="2"/>
        <v>0</v>
      </c>
      <c r="Z8" s="175">
        <f t="shared" si="2"/>
        <v>264000</v>
      </c>
      <c r="AA8" s="175">
        <f t="shared" si="2"/>
        <v>0</v>
      </c>
      <c r="AB8" s="175">
        <f t="shared" si="2"/>
        <v>0</v>
      </c>
      <c r="AC8" s="175">
        <f t="shared" si="2"/>
        <v>0</v>
      </c>
      <c r="AD8" s="175">
        <f t="shared" si="2"/>
        <v>40000</v>
      </c>
      <c r="AE8" s="175">
        <f t="shared" si="2"/>
        <v>40000</v>
      </c>
      <c r="AF8" s="175">
        <f t="shared" si="2"/>
        <v>0</v>
      </c>
      <c r="AG8" s="175">
        <f t="shared" si="3"/>
        <v>424000</v>
      </c>
      <c r="AH8" s="211">
        <v>0.08</v>
      </c>
    </row>
    <row r="9" spans="1:36" s="171" customFormat="1" ht="12.75" outlineLevel="1">
      <c r="A9" s="134">
        <v>9110</v>
      </c>
      <c r="B9" s="176" t="s">
        <v>88</v>
      </c>
      <c r="C9" s="170">
        <f>SUM(C6:C8)</f>
        <v>3134718.1858333298</v>
      </c>
      <c r="D9" s="170">
        <f t="shared" ref="D9:E9" si="7">SUM(D6:D8)</f>
        <v>3481479.2605555537</v>
      </c>
      <c r="E9" s="170">
        <f t="shared" si="7"/>
        <v>3677558.86611111</v>
      </c>
      <c r="G9" s="170">
        <f t="shared" ref="G9:S9" si="8">SUM(G6:G8)</f>
        <v>68012.337000000014</v>
      </c>
      <c r="H9" s="170">
        <f t="shared" si="8"/>
        <v>177473.54533333337</v>
      </c>
      <c r="I9" s="170">
        <f t="shared" si="8"/>
        <v>365266.7088333334</v>
      </c>
      <c r="J9" s="170">
        <f t="shared" si="8"/>
        <v>803334.63733333314</v>
      </c>
      <c r="K9" s="170">
        <f t="shared" si="8"/>
        <v>385618.58766666683</v>
      </c>
      <c r="L9" s="170">
        <f t="shared" si="8"/>
        <v>471990.96366666694</v>
      </c>
      <c r="M9" s="170">
        <f t="shared" si="8"/>
        <v>253949.55049999955</v>
      </c>
      <c r="N9" s="170">
        <f t="shared" si="8"/>
        <v>487935.74416666687</v>
      </c>
      <c r="O9" s="170">
        <f t="shared" si="8"/>
        <v>219760.58816666703</v>
      </c>
      <c r="P9" s="170">
        <f t="shared" si="8"/>
        <v>352913.0790000002</v>
      </c>
      <c r="Q9" s="170">
        <f t="shared" si="8"/>
        <v>213189.09166666682</v>
      </c>
      <c r="R9" s="170">
        <f t="shared" si="8"/>
        <v>163779.86216666672</v>
      </c>
      <c r="S9" s="170">
        <f t="shared" si="8"/>
        <v>3963224.6955000008</v>
      </c>
      <c r="U9" s="170">
        <f t="shared" ref="U9:AG9" si="9">SUM(U6:U8)</f>
        <v>221290.85000000003</v>
      </c>
      <c r="V9" s="170">
        <f t="shared" si="9"/>
        <v>220740.85000000003</v>
      </c>
      <c r="W9" s="170">
        <f t="shared" si="9"/>
        <v>581015.85000000009</v>
      </c>
      <c r="X9" s="170">
        <f t="shared" si="9"/>
        <v>220740.85000000003</v>
      </c>
      <c r="Y9" s="170">
        <f t="shared" si="9"/>
        <v>221015.85000000003</v>
      </c>
      <c r="Z9" s="170">
        <f t="shared" si="9"/>
        <v>1409015.85</v>
      </c>
      <c r="AA9" s="170">
        <f t="shared" si="9"/>
        <v>220740.85000000003</v>
      </c>
      <c r="AB9" s="170">
        <f t="shared" si="9"/>
        <v>221565.85000000003</v>
      </c>
      <c r="AC9" s="170">
        <f t="shared" si="9"/>
        <v>220465.85000000003</v>
      </c>
      <c r="AD9" s="170">
        <f t="shared" si="9"/>
        <v>401565.85000000003</v>
      </c>
      <c r="AE9" s="170">
        <f t="shared" si="9"/>
        <v>401290.85000000003</v>
      </c>
      <c r="AF9" s="170">
        <f t="shared" si="9"/>
        <v>220190.85000000003</v>
      </c>
      <c r="AG9" s="170">
        <f t="shared" si="9"/>
        <v>4559640.2000000011</v>
      </c>
      <c r="AI9" s="134"/>
      <c r="AJ9" s="134"/>
    </row>
    <row r="10" spans="1:36" s="171" customFormat="1" ht="12.75" outlineLevel="1">
      <c r="A10" s="173">
        <v>9210</v>
      </c>
      <c r="B10" s="174" t="s">
        <v>95</v>
      </c>
      <c r="C10" s="170">
        <f>C5-C9</f>
        <v>915131.89583333721</v>
      </c>
      <c r="D10" s="170">
        <f t="shared" ref="D10:E10" si="10">D5-D9</f>
        <v>978269.83444444602</v>
      </c>
      <c r="E10" s="170">
        <f t="shared" si="10"/>
        <v>1620462.8172222227</v>
      </c>
      <c r="G10" s="170">
        <f t="shared" ref="G10:S10" si="11">G5-G9</f>
        <v>25322.35633333333</v>
      </c>
      <c r="H10" s="170">
        <f t="shared" si="11"/>
        <v>31615.747999999992</v>
      </c>
      <c r="I10" s="170">
        <f t="shared" si="11"/>
        <v>87621.989500000025</v>
      </c>
      <c r="J10" s="170">
        <f t="shared" si="11"/>
        <v>306995.94933333329</v>
      </c>
      <c r="K10" s="170">
        <f t="shared" si="11"/>
        <v>59127.459000000032</v>
      </c>
      <c r="L10" s="170">
        <f t="shared" si="11"/>
        <v>110487.413</v>
      </c>
      <c r="M10" s="170">
        <f t="shared" si="11"/>
        <v>72165.797833333141</v>
      </c>
      <c r="N10" s="170">
        <f t="shared" si="11"/>
        <v>126478.23083333333</v>
      </c>
      <c r="O10" s="170">
        <f t="shared" si="11"/>
        <v>83142.540166666848</v>
      </c>
      <c r="P10" s="170">
        <f t="shared" si="11"/>
        <v>74360.407666666782</v>
      </c>
      <c r="Q10" s="170">
        <f t="shared" si="11"/>
        <v>57357.341666666762</v>
      </c>
      <c r="R10" s="170">
        <f t="shared" si="11"/>
        <v>68524.702833333373</v>
      </c>
      <c r="S10" s="170">
        <f t="shared" si="11"/>
        <v>1103199.9361666669</v>
      </c>
      <c r="U10" s="170">
        <f t="shared" ref="U10:AG10" si="12">U5-U9</f>
        <v>-221290.85000000003</v>
      </c>
      <c r="V10" s="170">
        <f t="shared" si="12"/>
        <v>-220740.85000000003</v>
      </c>
      <c r="W10" s="170">
        <f t="shared" si="12"/>
        <v>418984.14999999991</v>
      </c>
      <c r="X10" s="170">
        <f t="shared" si="12"/>
        <v>-220740.85000000003</v>
      </c>
      <c r="Y10" s="170">
        <f t="shared" si="12"/>
        <v>-221015.85000000003</v>
      </c>
      <c r="Z10" s="170">
        <f t="shared" si="12"/>
        <v>1890984.15</v>
      </c>
      <c r="AA10" s="170">
        <f t="shared" si="12"/>
        <v>-220740.85000000003</v>
      </c>
      <c r="AB10" s="170">
        <f t="shared" si="12"/>
        <v>-221565.85000000003</v>
      </c>
      <c r="AC10" s="170">
        <f t="shared" si="12"/>
        <v>-220465.85000000003</v>
      </c>
      <c r="AD10" s="170">
        <f t="shared" si="12"/>
        <v>98434.149999999965</v>
      </c>
      <c r="AE10" s="170">
        <f t="shared" si="12"/>
        <v>98709.149999999965</v>
      </c>
      <c r="AF10" s="170">
        <f t="shared" si="12"/>
        <v>-220190.85000000003</v>
      </c>
      <c r="AG10" s="170">
        <f t="shared" si="12"/>
        <v>740359.79999999888</v>
      </c>
      <c r="AI10" s="134"/>
      <c r="AJ10" s="134"/>
    </row>
    <row r="11" spans="1:36" s="134" customFormat="1" ht="12.75">
      <c r="A11" s="177">
        <v>9291</v>
      </c>
      <c r="B11" s="178" t="s">
        <v>97</v>
      </c>
      <c r="C11" s="179">
        <f>C10/C5</f>
        <v>0.22596685738468761</v>
      </c>
      <c r="D11" s="179">
        <f t="shared" ref="D11:E11" si="13">D10/D5</f>
        <v>0.21935535242133303</v>
      </c>
      <c r="E11" s="179">
        <f t="shared" si="13"/>
        <v>0.30586186959557388</v>
      </c>
      <c r="F11" s="180"/>
      <c r="G11" s="179">
        <f t="shared" ref="G11:S11" si="14">G10/G5</f>
        <v>0.27130700738360664</v>
      </c>
      <c r="H11" s="179">
        <f t="shared" si="14"/>
        <v>0.15120691976129874</v>
      </c>
      <c r="I11" s="179">
        <f t="shared" si="14"/>
        <v>0.19347356165533816</v>
      </c>
      <c r="J11" s="179">
        <f t="shared" si="14"/>
        <v>0.27649058129162113</v>
      </c>
      <c r="K11" s="179">
        <f t="shared" si="14"/>
        <v>0.13294656454656589</v>
      </c>
      <c r="L11" s="179">
        <f t="shared" si="14"/>
        <v>0.18968500364302499</v>
      </c>
      <c r="M11" s="179">
        <f t="shared" si="14"/>
        <v>0.22128917943343845</v>
      </c>
      <c r="N11" s="179">
        <f t="shared" si="14"/>
        <v>0.20585181323932825</v>
      </c>
      <c r="O11" s="179">
        <f t="shared" si="14"/>
        <v>0.27448557769654824</v>
      </c>
      <c r="P11" s="179">
        <f t="shared" si="14"/>
        <v>0.17403468735395297</v>
      </c>
      <c r="Q11" s="179">
        <f t="shared" si="14"/>
        <v>0.21200553620308937</v>
      </c>
      <c r="R11" s="179">
        <f t="shared" si="14"/>
        <v>0.294977857337127</v>
      </c>
      <c r="S11" s="179">
        <f t="shared" si="14"/>
        <v>0.21774723130614393</v>
      </c>
      <c r="T11" s="180"/>
      <c r="U11" s="179" t="e">
        <f t="shared" ref="U11:AG11" si="15">U10/U5</f>
        <v>#DIV/0!</v>
      </c>
      <c r="V11" s="179" t="e">
        <f t="shared" si="15"/>
        <v>#DIV/0!</v>
      </c>
      <c r="W11" s="179">
        <f t="shared" si="15"/>
        <v>0.41898414999999989</v>
      </c>
      <c r="X11" s="179" t="e">
        <f t="shared" si="15"/>
        <v>#DIV/0!</v>
      </c>
      <c r="Y11" s="179" t="e">
        <f t="shared" si="15"/>
        <v>#DIV/0!</v>
      </c>
      <c r="Z11" s="179">
        <f t="shared" si="15"/>
        <v>0.57302549999999997</v>
      </c>
      <c r="AA11" s="179" t="e">
        <f t="shared" si="15"/>
        <v>#DIV/0!</v>
      </c>
      <c r="AB11" s="179" t="e">
        <f t="shared" si="15"/>
        <v>#DIV/0!</v>
      </c>
      <c r="AC11" s="179" t="e">
        <f t="shared" si="15"/>
        <v>#DIV/0!</v>
      </c>
      <c r="AD11" s="179">
        <f t="shared" si="15"/>
        <v>0.19686829999999994</v>
      </c>
      <c r="AE11" s="179">
        <f t="shared" si="15"/>
        <v>0.19741829999999994</v>
      </c>
      <c r="AF11" s="179" t="e">
        <f t="shared" si="15"/>
        <v>#DIV/0!</v>
      </c>
      <c r="AG11" s="179">
        <f t="shared" si="15"/>
        <v>0.13969052830188658</v>
      </c>
      <c r="AH11" s="180"/>
      <c r="AJ11" s="134" t="s">
        <v>174</v>
      </c>
    </row>
    <row r="12" spans="1:36" s="134" customFormat="1" ht="12.75">
      <c r="F12" s="181"/>
      <c r="AJ12" s="172"/>
    </row>
    <row r="13" spans="1:36" s="134" customFormat="1" ht="13.5" outlineLevel="1" thickBot="1">
      <c r="A13" s="131" t="s">
        <v>164</v>
      </c>
      <c r="B13" s="131" t="s">
        <v>165</v>
      </c>
      <c r="C13" s="131"/>
      <c r="D13" s="131"/>
      <c r="AJ13" s="172"/>
    </row>
    <row r="14" spans="1:36" s="134" customFormat="1" ht="13.5" outlineLevel="1" thickTop="1">
      <c r="A14" s="182">
        <v>1</v>
      </c>
      <c r="B14" s="183" t="s">
        <v>476</v>
      </c>
      <c r="C14" s="132"/>
      <c r="D14" s="132"/>
      <c r="F14" s="132"/>
      <c r="G14" s="184">
        <v>1584.0466666666664</v>
      </c>
      <c r="H14" s="184">
        <v>3127.4766666666669</v>
      </c>
      <c r="I14" s="184">
        <v>27280.01</v>
      </c>
      <c r="J14" s="184">
        <v>8447.5616666666665</v>
      </c>
      <c r="K14" s="184">
        <v>43107.906666666669</v>
      </c>
      <c r="L14" s="184">
        <v>17250.176666666666</v>
      </c>
      <c r="M14" s="184">
        <v>15067.228333333333</v>
      </c>
      <c r="N14" s="184">
        <v>13258.749966666664</v>
      </c>
      <c r="O14" s="184">
        <v>8473.1716666666671</v>
      </c>
      <c r="P14" s="184">
        <v>11833.333333333334</v>
      </c>
      <c r="Q14" s="184">
        <v>20000</v>
      </c>
      <c r="R14" s="184">
        <v>11666.666666666666</v>
      </c>
      <c r="S14" s="184">
        <f t="shared" ref="S14:S48" si="16">SUM(G14:R14)</f>
        <v>181096.32830000002</v>
      </c>
      <c r="U14" s="184">
        <f t="shared" ref="U14:AF14" si="17">SUM(U15:U16)</f>
        <v>0</v>
      </c>
      <c r="V14" s="184">
        <f t="shared" si="17"/>
        <v>0</v>
      </c>
      <c r="W14" s="184">
        <f t="shared" si="17"/>
        <v>0</v>
      </c>
      <c r="X14" s="184">
        <f t="shared" si="17"/>
        <v>0</v>
      </c>
      <c r="Y14" s="184">
        <f t="shared" si="17"/>
        <v>0</v>
      </c>
      <c r="Z14" s="184">
        <f t="shared" si="17"/>
        <v>0</v>
      </c>
      <c r="AA14" s="184">
        <f t="shared" si="17"/>
        <v>0</v>
      </c>
      <c r="AB14" s="184">
        <f t="shared" si="17"/>
        <v>0</v>
      </c>
      <c r="AC14" s="184">
        <f t="shared" si="17"/>
        <v>0</v>
      </c>
      <c r="AD14" s="184">
        <f t="shared" si="17"/>
        <v>0</v>
      </c>
      <c r="AE14" s="184">
        <f t="shared" si="17"/>
        <v>0</v>
      </c>
      <c r="AF14" s="184">
        <f t="shared" si="17"/>
        <v>0</v>
      </c>
      <c r="AG14" s="184">
        <f t="shared" ref="AG14:AG48" si="18">SUM(U14:AF14)</f>
        <v>0</v>
      </c>
      <c r="AI14" s="185">
        <f t="shared" ref="AI14" si="19">AJ14*S14</f>
        <v>0</v>
      </c>
      <c r="AJ14" s="483">
        <v>0</v>
      </c>
    </row>
    <row r="15" spans="1:36" s="134" customFormat="1" ht="12.75" outlineLevel="1">
      <c r="A15" s="186">
        <v>111</v>
      </c>
      <c r="B15" s="186" t="s">
        <v>480</v>
      </c>
      <c r="C15" s="132"/>
      <c r="D15" s="132"/>
      <c r="F15" s="132"/>
      <c r="G15" s="185">
        <v>0</v>
      </c>
      <c r="H15" s="185">
        <v>0</v>
      </c>
      <c r="I15" s="185">
        <v>0</v>
      </c>
      <c r="J15" s="185">
        <v>0</v>
      </c>
      <c r="K15" s="185">
        <v>7495.833333333333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8333.3333333333339</v>
      </c>
      <c r="R15" s="185">
        <v>0</v>
      </c>
      <c r="S15" s="185">
        <f t="shared" si="16"/>
        <v>15829.166666666668</v>
      </c>
      <c r="U15" s="185"/>
      <c r="V15" s="185"/>
      <c r="W15" s="185">
        <f>$AI$15/3</f>
        <v>0</v>
      </c>
      <c r="X15" s="185"/>
      <c r="Y15" s="185"/>
      <c r="Z15" s="185">
        <f>$AI$15/3</f>
        <v>0</v>
      </c>
      <c r="AA15" s="185"/>
      <c r="AB15" s="185"/>
      <c r="AC15" s="185">
        <f>$AI$15/3</f>
        <v>0</v>
      </c>
      <c r="AD15" s="185"/>
      <c r="AE15" s="185"/>
      <c r="AF15" s="185"/>
      <c r="AG15" s="185">
        <f t="shared" si="18"/>
        <v>0</v>
      </c>
      <c r="AI15" s="185">
        <f>AJ15*S15</f>
        <v>0</v>
      </c>
      <c r="AJ15" s="483">
        <v>0</v>
      </c>
    </row>
    <row r="16" spans="1:36" s="134" customFormat="1" ht="12.75" outlineLevel="1">
      <c r="A16" s="186">
        <v>112</v>
      </c>
      <c r="B16" s="186" t="s">
        <v>481</v>
      </c>
      <c r="C16" s="132"/>
      <c r="D16" s="132"/>
      <c r="F16" s="132"/>
      <c r="G16" s="185">
        <v>1584.0466666666664</v>
      </c>
      <c r="H16" s="185">
        <v>3127.4766666666669</v>
      </c>
      <c r="I16" s="185">
        <v>27280.01</v>
      </c>
      <c r="J16" s="185">
        <v>8447.5616666666665</v>
      </c>
      <c r="K16" s="185">
        <v>35612.073333333334</v>
      </c>
      <c r="L16" s="185">
        <v>17250.176666666666</v>
      </c>
      <c r="M16" s="185">
        <v>15067.228333333333</v>
      </c>
      <c r="N16" s="185">
        <v>13258.749966666664</v>
      </c>
      <c r="O16" s="185">
        <v>8473.1716666666671</v>
      </c>
      <c r="P16" s="185">
        <v>11833.333333333334</v>
      </c>
      <c r="Q16" s="185">
        <v>11666.666666666666</v>
      </c>
      <c r="R16" s="185">
        <v>11666.666666666666</v>
      </c>
      <c r="S16" s="185">
        <f t="shared" si="16"/>
        <v>165267.16163333331</v>
      </c>
      <c r="U16" s="185">
        <f>$AJ16*G16</f>
        <v>0</v>
      </c>
      <c r="V16" s="185">
        <f t="shared" ref="V16:AF16" si="20">$AJ16*H16</f>
        <v>0</v>
      </c>
      <c r="W16" s="185">
        <f t="shared" si="20"/>
        <v>0</v>
      </c>
      <c r="X16" s="185">
        <f t="shared" si="20"/>
        <v>0</v>
      </c>
      <c r="Y16" s="185">
        <f t="shared" si="20"/>
        <v>0</v>
      </c>
      <c r="Z16" s="185">
        <f t="shared" si="20"/>
        <v>0</v>
      </c>
      <c r="AA16" s="185">
        <f t="shared" si="20"/>
        <v>0</v>
      </c>
      <c r="AB16" s="185">
        <f t="shared" si="20"/>
        <v>0</v>
      </c>
      <c r="AC16" s="185">
        <f t="shared" si="20"/>
        <v>0</v>
      </c>
      <c r="AD16" s="185">
        <f t="shared" si="20"/>
        <v>0</v>
      </c>
      <c r="AE16" s="185">
        <f t="shared" si="20"/>
        <v>0</v>
      </c>
      <c r="AF16" s="185">
        <f t="shared" si="20"/>
        <v>0</v>
      </c>
      <c r="AG16" s="185">
        <f t="shared" si="18"/>
        <v>0</v>
      </c>
      <c r="AI16" s="185">
        <f t="shared" ref="AI16:AI34" si="21">AJ16*S16</f>
        <v>0</v>
      </c>
      <c r="AJ16" s="483">
        <v>0</v>
      </c>
    </row>
    <row r="17" spans="1:36" s="134" customFormat="1" ht="12.75" outlineLevel="1">
      <c r="A17" s="182">
        <v>6</v>
      </c>
      <c r="B17" s="183" t="s">
        <v>477</v>
      </c>
      <c r="C17" s="132"/>
      <c r="D17" s="132"/>
      <c r="F17" s="132"/>
      <c r="G17" s="184">
        <v>48973.493333333339</v>
      </c>
      <c r="H17" s="184">
        <v>68524.131516666675</v>
      </c>
      <c r="I17" s="184">
        <v>247692.88496666661</v>
      </c>
      <c r="J17" s="184">
        <v>241787.09133333332</v>
      </c>
      <c r="K17" s="184">
        <v>253413.03825000001</v>
      </c>
      <c r="L17" s="184">
        <v>243822.30339999998</v>
      </c>
      <c r="M17" s="184">
        <v>169031.83499999999</v>
      </c>
      <c r="N17" s="184">
        <v>198298.02333333332</v>
      </c>
      <c r="O17" s="184">
        <v>131419.6033333333</v>
      </c>
      <c r="P17" s="184">
        <v>303400</v>
      </c>
      <c r="Q17" s="184">
        <v>130833.33333333333</v>
      </c>
      <c r="R17" s="184">
        <v>104166.66666666667</v>
      </c>
      <c r="S17" s="184">
        <f t="shared" si="16"/>
        <v>2141362.4044666663</v>
      </c>
      <c r="U17" s="184">
        <f t="shared" ref="U17:AF17" si="22">SUM(U18:U26)</f>
        <v>0</v>
      </c>
      <c r="V17" s="184">
        <f t="shared" si="22"/>
        <v>0</v>
      </c>
      <c r="W17" s="184">
        <f t="shared" si="22"/>
        <v>0</v>
      </c>
      <c r="X17" s="184">
        <f t="shared" si="22"/>
        <v>0</v>
      </c>
      <c r="Y17" s="184">
        <f t="shared" si="22"/>
        <v>0</v>
      </c>
      <c r="Z17" s="184">
        <f t="shared" si="22"/>
        <v>0</v>
      </c>
      <c r="AA17" s="184">
        <f t="shared" si="22"/>
        <v>0</v>
      </c>
      <c r="AB17" s="184">
        <f t="shared" si="22"/>
        <v>0</v>
      </c>
      <c r="AC17" s="184">
        <f t="shared" si="22"/>
        <v>0</v>
      </c>
      <c r="AD17" s="184">
        <f t="shared" si="22"/>
        <v>0</v>
      </c>
      <c r="AE17" s="184">
        <f t="shared" si="22"/>
        <v>0</v>
      </c>
      <c r="AF17" s="184">
        <f t="shared" si="22"/>
        <v>0</v>
      </c>
      <c r="AG17" s="184">
        <f t="shared" si="18"/>
        <v>0</v>
      </c>
      <c r="AI17" s="185">
        <f t="shared" si="21"/>
        <v>0</v>
      </c>
      <c r="AJ17" s="483">
        <v>0</v>
      </c>
    </row>
    <row r="18" spans="1:36" s="134" customFormat="1" ht="12.75" outlineLevel="1">
      <c r="A18" s="186">
        <v>611</v>
      </c>
      <c r="B18" s="186" t="s">
        <v>482</v>
      </c>
      <c r="C18" s="132"/>
      <c r="D18" s="132"/>
      <c r="F18" s="132"/>
      <c r="G18" s="185">
        <v>11609.239999999998</v>
      </c>
      <c r="H18" s="185">
        <v>24895.284750000003</v>
      </c>
      <c r="I18" s="185">
        <v>72525.01003333331</v>
      </c>
      <c r="J18" s="185">
        <v>166402.81633333332</v>
      </c>
      <c r="K18" s="185">
        <v>147391.90000000002</v>
      </c>
      <c r="L18" s="185">
        <v>137943.92006666664</v>
      </c>
      <c r="M18" s="185">
        <v>128324.59166666666</v>
      </c>
      <c r="N18" s="185">
        <v>104393.15666666668</v>
      </c>
      <c r="O18" s="185">
        <v>82565.649999999994</v>
      </c>
      <c r="P18" s="185">
        <v>93333.333333333328</v>
      </c>
      <c r="Q18" s="185">
        <v>66666.666666666672</v>
      </c>
      <c r="R18" s="185">
        <v>66666.666666666672</v>
      </c>
      <c r="S18" s="185">
        <f t="shared" si="16"/>
        <v>1102718.2361833332</v>
      </c>
      <c r="U18" s="185">
        <f t="shared" ref="U18:AF26" si="23">$AJ18*G18</f>
        <v>0</v>
      </c>
      <c r="V18" s="185">
        <f t="shared" si="23"/>
        <v>0</v>
      </c>
      <c r="W18" s="185">
        <f t="shared" si="23"/>
        <v>0</v>
      </c>
      <c r="X18" s="185">
        <f t="shared" si="23"/>
        <v>0</v>
      </c>
      <c r="Y18" s="185">
        <f t="shared" si="23"/>
        <v>0</v>
      </c>
      <c r="Z18" s="185">
        <f t="shared" si="23"/>
        <v>0</v>
      </c>
      <c r="AA18" s="185">
        <f t="shared" si="23"/>
        <v>0</v>
      </c>
      <c r="AB18" s="185">
        <f t="shared" si="23"/>
        <v>0</v>
      </c>
      <c r="AC18" s="185">
        <f t="shared" si="23"/>
        <v>0</v>
      </c>
      <c r="AD18" s="185">
        <f t="shared" si="23"/>
        <v>0</v>
      </c>
      <c r="AE18" s="185">
        <f t="shared" si="23"/>
        <v>0</v>
      </c>
      <c r="AF18" s="185">
        <f t="shared" si="23"/>
        <v>0</v>
      </c>
      <c r="AG18" s="185">
        <f t="shared" si="18"/>
        <v>0</v>
      </c>
      <c r="AI18" s="185">
        <f t="shared" si="21"/>
        <v>0</v>
      </c>
      <c r="AJ18" s="483">
        <v>0</v>
      </c>
    </row>
    <row r="19" spans="1:36" s="134" customFormat="1" ht="12.75" outlineLevel="1">
      <c r="A19" s="186">
        <v>612</v>
      </c>
      <c r="B19" s="186" t="s">
        <v>483</v>
      </c>
      <c r="C19" s="132"/>
      <c r="D19" s="132"/>
      <c r="F19" s="132"/>
      <c r="G19" s="185">
        <v>2974.2533333333336</v>
      </c>
      <c r="H19" s="185">
        <v>1046.3533333333332</v>
      </c>
      <c r="I19" s="185">
        <v>25916.146666666664</v>
      </c>
      <c r="J19" s="185">
        <v>17764.908333333336</v>
      </c>
      <c r="K19" s="185">
        <v>10272.133333333333</v>
      </c>
      <c r="L19" s="185">
        <v>17128.035</v>
      </c>
      <c r="M19" s="185">
        <v>16298.164999999995</v>
      </c>
      <c r="N19" s="185">
        <v>15625.491666666667</v>
      </c>
      <c r="O19" s="185">
        <v>10788.191666666668</v>
      </c>
      <c r="P19" s="185">
        <v>29666.666666666668</v>
      </c>
      <c r="Q19" s="185">
        <v>11666.666666666666</v>
      </c>
      <c r="R19" s="185">
        <v>10000</v>
      </c>
      <c r="S19" s="185">
        <f t="shared" si="16"/>
        <v>169147.01166666666</v>
      </c>
      <c r="U19" s="185">
        <f t="shared" si="23"/>
        <v>0</v>
      </c>
      <c r="V19" s="185">
        <f t="shared" si="23"/>
        <v>0</v>
      </c>
      <c r="W19" s="185">
        <f t="shared" si="23"/>
        <v>0</v>
      </c>
      <c r="X19" s="185">
        <f t="shared" si="23"/>
        <v>0</v>
      </c>
      <c r="Y19" s="185">
        <f t="shared" si="23"/>
        <v>0</v>
      </c>
      <c r="Z19" s="185">
        <f t="shared" si="23"/>
        <v>0</v>
      </c>
      <c r="AA19" s="185">
        <f t="shared" si="23"/>
        <v>0</v>
      </c>
      <c r="AB19" s="185">
        <f t="shared" si="23"/>
        <v>0</v>
      </c>
      <c r="AC19" s="185">
        <f t="shared" si="23"/>
        <v>0</v>
      </c>
      <c r="AD19" s="185">
        <f t="shared" si="23"/>
        <v>0</v>
      </c>
      <c r="AE19" s="185">
        <f t="shared" si="23"/>
        <v>0</v>
      </c>
      <c r="AF19" s="185">
        <f t="shared" si="23"/>
        <v>0</v>
      </c>
      <c r="AG19" s="185">
        <f t="shared" si="18"/>
        <v>0</v>
      </c>
      <c r="AI19" s="185">
        <f t="shared" si="21"/>
        <v>0</v>
      </c>
      <c r="AJ19" s="483">
        <v>0</v>
      </c>
    </row>
    <row r="20" spans="1:36" s="134" customFormat="1" ht="12.75" outlineLevel="1">
      <c r="A20" s="186">
        <v>616</v>
      </c>
      <c r="B20" s="186" t="s">
        <v>484</v>
      </c>
      <c r="C20" s="132"/>
      <c r="D20" s="132"/>
      <c r="F20" s="132"/>
      <c r="G20" s="185">
        <v>0</v>
      </c>
      <c r="H20" s="185">
        <v>13250</v>
      </c>
      <c r="I20" s="185">
        <v>0</v>
      </c>
      <c r="J20" s="185">
        <v>0</v>
      </c>
      <c r="K20" s="185">
        <v>11715</v>
      </c>
      <c r="L20" s="185">
        <v>2103.2000000000003</v>
      </c>
      <c r="M20" s="185">
        <v>2409.8666666666668</v>
      </c>
      <c r="N20" s="185">
        <v>0</v>
      </c>
      <c r="O20" s="185">
        <v>326.33333333333331</v>
      </c>
      <c r="P20" s="185">
        <v>23333.333333333332</v>
      </c>
      <c r="Q20" s="185">
        <v>8333.3333333333339</v>
      </c>
      <c r="R20" s="185">
        <v>0</v>
      </c>
      <c r="S20" s="185">
        <f t="shared" si="16"/>
        <v>61471.066666666666</v>
      </c>
      <c r="U20" s="185">
        <f t="shared" si="23"/>
        <v>0</v>
      </c>
      <c r="V20" s="185">
        <f t="shared" si="23"/>
        <v>0</v>
      </c>
      <c r="W20" s="185">
        <f t="shared" si="23"/>
        <v>0</v>
      </c>
      <c r="X20" s="185">
        <f t="shared" si="23"/>
        <v>0</v>
      </c>
      <c r="Y20" s="185">
        <f t="shared" si="23"/>
        <v>0</v>
      </c>
      <c r="Z20" s="185">
        <f t="shared" si="23"/>
        <v>0</v>
      </c>
      <c r="AA20" s="185">
        <f t="shared" si="23"/>
        <v>0</v>
      </c>
      <c r="AB20" s="185">
        <f t="shared" si="23"/>
        <v>0</v>
      </c>
      <c r="AC20" s="185">
        <f t="shared" si="23"/>
        <v>0</v>
      </c>
      <c r="AD20" s="185">
        <f t="shared" si="23"/>
        <v>0</v>
      </c>
      <c r="AE20" s="185">
        <f t="shared" si="23"/>
        <v>0</v>
      </c>
      <c r="AF20" s="185">
        <f t="shared" si="23"/>
        <v>0</v>
      </c>
      <c r="AG20" s="185">
        <f t="shared" si="18"/>
        <v>0</v>
      </c>
      <c r="AI20" s="185">
        <f t="shared" si="21"/>
        <v>0</v>
      </c>
      <c r="AJ20" s="483">
        <v>0</v>
      </c>
    </row>
    <row r="21" spans="1:36" s="134" customFormat="1" ht="12.75" outlineLevel="1">
      <c r="A21" s="186">
        <v>618</v>
      </c>
      <c r="B21" s="186" t="s">
        <v>485</v>
      </c>
      <c r="C21" s="132"/>
      <c r="D21" s="132"/>
      <c r="F21" s="132"/>
      <c r="G21" s="185">
        <v>0</v>
      </c>
      <c r="H21" s="185">
        <v>0</v>
      </c>
      <c r="I21" s="185">
        <v>721.70499999999981</v>
      </c>
      <c r="J21" s="185">
        <v>0</v>
      </c>
      <c r="K21" s="185">
        <v>0</v>
      </c>
      <c r="L21" s="185">
        <v>0</v>
      </c>
      <c r="M21" s="185">
        <v>0</v>
      </c>
      <c r="N21" s="185">
        <v>955.13666666666677</v>
      </c>
      <c r="O21" s="185">
        <v>0</v>
      </c>
      <c r="P21" s="185">
        <v>0</v>
      </c>
      <c r="Q21" s="185">
        <v>0</v>
      </c>
      <c r="R21" s="185">
        <v>0</v>
      </c>
      <c r="S21" s="185">
        <f t="shared" si="16"/>
        <v>1676.8416666666667</v>
      </c>
      <c r="U21" s="185">
        <f t="shared" si="23"/>
        <v>0</v>
      </c>
      <c r="V21" s="185">
        <f t="shared" si="23"/>
        <v>0</v>
      </c>
      <c r="W21" s="185">
        <f t="shared" si="23"/>
        <v>0</v>
      </c>
      <c r="X21" s="185">
        <f t="shared" si="23"/>
        <v>0</v>
      </c>
      <c r="Y21" s="185">
        <f t="shared" si="23"/>
        <v>0</v>
      </c>
      <c r="Z21" s="185">
        <f t="shared" si="23"/>
        <v>0</v>
      </c>
      <c r="AA21" s="185">
        <f t="shared" si="23"/>
        <v>0</v>
      </c>
      <c r="AB21" s="185">
        <f t="shared" si="23"/>
        <v>0</v>
      </c>
      <c r="AC21" s="185">
        <f t="shared" si="23"/>
        <v>0</v>
      </c>
      <c r="AD21" s="185">
        <f t="shared" si="23"/>
        <v>0</v>
      </c>
      <c r="AE21" s="185">
        <f t="shared" si="23"/>
        <v>0</v>
      </c>
      <c r="AF21" s="185">
        <f t="shared" si="23"/>
        <v>0</v>
      </c>
      <c r="AG21" s="185">
        <f t="shared" si="18"/>
        <v>0</v>
      </c>
      <c r="AI21" s="185">
        <f t="shared" si="21"/>
        <v>0</v>
      </c>
      <c r="AJ21" s="483">
        <v>0</v>
      </c>
    </row>
    <row r="22" spans="1:36" s="134" customFormat="1" ht="12.75" outlineLevel="1">
      <c r="A22" s="186">
        <v>613</v>
      </c>
      <c r="B22" s="186" t="s">
        <v>486</v>
      </c>
      <c r="C22" s="132"/>
      <c r="D22" s="132"/>
      <c r="F22" s="132"/>
      <c r="G22" s="185">
        <v>18789.8</v>
      </c>
      <c r="H22" s="185">
        <v>4073.1999999999994</v>
      </c>
      <c r="I22" s="185">
        <v>22625.485000000004</v>
      </c>
      <c r="J22" s="185">
        <v>21799.840000000004</v>
      </c>
      <c r="K22" s="185">
        <v>27946.199999999997</v>
      </c>
      <c r="L22" s="185">
        <v>23508.100000000002</v>
      </c>
      <c r="M22" s="185">
        <v>9686.1766666666681</v>
      </c>
      <c r="N22" s="185">
        <v>26383.588333333333</v>
      </c>
      <c r="O22" s="185">
        <v>9325.68</v>
      </c>
      <c r="P22" s="185">
        <v>48333.333333333336</v>
      </c>
      <c r="Q22" s="185">
        <v>8333.3333333333339</v>
      </c>
      <c r="R22" s="185">
        <v>8333.3333333333339</v>
      </c>
      <c r="S22" s="185">
        <f t="shared" si="16"/>
        <v>229138.07000000004</v>
      </c>
      <c r="U22" s="185">
        <f t="shared" si="23"/>
        <v>0</v>
      </c>
      <c r="V22" s="185">
        <f t="shared" si="23"/>
        <v>0</v>
      </c>
      <c r="W22" s="185">
        <f t="shared" si="23"/>
        <v>0</v>
      </c>
      <c r="X22" s="185">
        <f t="shared" si="23"/>
        <v>0</v>
      </c>
      <c r="Y22" s="185">
        <f t="shared" si="23"/>
        <v>0</v>
      </c>
      <c r="Z22" s="185">
        <f t="shared" si="23"/>
        <v>0</v>
      </c>
      <c r="AA22" s="185">
        <f t="shared" si="23"/>
        <v>0</v>
      </c>
      <c r="AB22" s="185">
        <f t="shared" si="23"/>
        <v>0</v>
      </c>
      <c r="AC22" s="185">
        <f t="shared" si="23"/>
        <v>0</v>
      </c>
      <c r="AD22" s="185">
        <f t="shared" si="23"/>
        <v>0</v>
      </c>
      <c r="AE22" s="185">
        <f t="shared" si="23"/>
        <v>0</v>
      </c>
      <c r="AF22" s="185">
        <f t="shared" si="23"/>
        <v>0</v>
      </c>
      <c r="AG22" s="185">
        <f t="shared" si="18"/>
        <v>0</v>
      </c>
      <c r="AI22" s="185">
        <f t="shared" si="21"/>
        <v>0</v>
      </c>
      <c r="AJ22" s="483">
        <v>0</v>
      </c>
    </row>
    <row r="23" spans="1:36" s="134" customFormat="1" ht="12.75" outlineLevel="1">
      <c r="A23" s="186">
        <v>615</v>
      </c>
      <c r="B23" s="186" t="s">
        <v>487</v>
      </c>
      <c r="C23" s="132"/>
      <c r="D23" s="132"/>
      <c r="F23" s="132"/>
      <c r="G23" s="185">
        <v>13674.466666666669</v>
      </c>
      <c r="H23" s="185">
        <v>19903.960100000004</v>
      </c>
      <c r="I23" s="185">
        <v>38102.354933333329</v>
      </c>
      <c r="J23" s="185">
        <v>19078.07333333333</v>
      </c>
      <c r="K23" s="185">
        <v>29985.804916666664</v>
      </c>
      <c r="L23" s="185">
        <v>30672.328333333338</v>
      </c>
      <c r="M23" s="185">
        <v>12313.034999999998</v>
      </c>
      <c r="N23" s="185">
        <v>16870.086666666666</v>
      </c>
      <c r="O23" s="185">
        <v>10710.163333333332</v>
      </c>
      <c r="P23" s="185">
        <v>25333.333333333332</v>
      </c>
      <c r="Q23" s="185">
        <v>8333.3333333333339</v>
      </c>
      <c r="R23" s="185">
        <v>8333.3333333333339</v>
      </c>
      <c r="S23" s="185">
        <f t="shared" si="16"/>
        <v>233310.27328333334</v>
      </c>
      <c r="U23" s="185">
        <f t="shared" si="23"/>
        <v>0</v>
      </c>
      <c r="V23" s="185">
        <f t="shared" si="23"/>
        <v>0</v>
      </c>
      <c r="W23" s="185">
        <f t="shared" si="23"/>
        <v>0</v>
      </c>
      <c r="X23" s="185">
        <f t="shared" si="23"/>
        <v>0</v>
      </c>
      <c r="Y23" s="185">
        <f t="shared" si="23"/>
        <v>0</v>
      </c>
      <c r="Z23" s="185">
        <f t="shared" si="23"/>
        <v>0</v>
      </c>
      <c r="AA23" s="185">
        <f t="shared" si="23"/>
        <v>0</v>
      </c>
      <c r="AB23" s="185">
        <f t="shared" si="23"/>
        <v>0</v>
      </c>
      <c r="AC23" s="185">
        <f t="shared" si="23"/>
        <v>0</v>
      </c>
      <c r="AD23" s="185">
        <f t="shared" si="23"/>
        <v>0</v>
      </c>
      <c r="AE23" s="185">
        <f t="shared" si="23"/>
        <v>0</v>
      </c>
      <c r="AF23" s="185">
        <f t="shared" si="23"/>
        <v>0</v>
      </c>
      <c r="AG23" s="185">
        <f t="shared" si="18"/>
        <v>0</v>
      </c>
      <c r="AI23" s="185">
        <f t="shared" si="21"/>
        <v>0</v>
      </c>
      <c r="AJ23" s="483">
        <v>0</v>
      </c>
    </row>
    <row r="24" spans="1:36" s="134" customFormat="1" ht="12.75" outlineLevel="1">
      <c r="A24" s="186">
        <v>617</v>
      </c>
      <c r="B24" s="186" t="s">
        <v>488</v>
      </c>
      <c r="C24" s="132"/>
      <c r="D24" s="132"/>
      <c r="F24" s="132"/>
      <c r="G24" s="185">
        <v>0</v>
      </c>
      <c r="H24" s="185">
        <v>0</v>
      </c>
      <c r="I24" s="185">
        <v>2013.3966666666672</v>
      </c>
      <c r="J24" s="185">
        <v>0</v>
      </c>
      <c r="K24" s="185">
        <v>0</v>
      </c>
      <c r="L24" s="185">
        <v>0</v>
      </c>
      <c r="M24" s="185">
        <v>0</v>
      </c>
      <c r="N24" s="185">
        <v>1628.7833333333335</v>
      </c>
      <c r="O24" s="185">
        <v>1873.1583333333335</v>
      </c>
      <c r="P24" s="185">
        <v>24000</v>
      </c>
      <c r="Q24" s="185">
        <v>1666.6666666666667</v>
      </c>
      <c r="R24" s="185">
        <v>1666.6666666666667</v>
      </c>
      <c r="S24" s="185">
        <f t="shared" si="16"/>
        <v>32848.671666666669</v>
      </c>
      <c r="U24" s="185">
        <f t="shared" si="23"/>
        <v>0</v>
      </c>
      <c r="V24" s="185">
        <f t="shared" si="23"/>
        <v>0</v>
      </c>
      <c r="W24" s="185">
        <f t="shared" si="23"/>
        <v>0</v>
      </c>
      <c r="X24" s="185">
        <f t="shared" si="23"/>
        <v>0</v>
      </c>
      <c r="Y24" s="185">
        <f t="shared" si="23"/>
        <v>0</v>
      </c>
      <c r="Z24" s="185">
        <f t="shared" si="23"/>
        <v>0</v>
      </c>
      <c r="AA24" s="185">
        <f t="shared" si="23"/>
        <v>0</v>
      </c>
      <c r="AB24" s="185">
        <f t="shared" si="23"/>
        <v>0</v>
      </c>
      <c r="AC24" s="185">
        <f t="shared" si="23"/>
        <v>0</v>
      </c>
      <c r="AD24" s="185">
        <f t="shared" si="23"/>
        <v>0</v>
      </c>
      <c r="AE24" s="185">
        <f t="shared" si="23"/>
        <v>0</v>
      </c>
      <c r="AF24" s="185">
        <f t="shared" si="23"/>
        <v>0</v>
      </c>
      <c r="AG24" s="185">
        <f t="shared" si="18"/>
        <v>0</v>
      </c>
      <c r="AI24" s="185">
        <f t="shared" si="21"/>
        <v>0</v>
      </c>
      <c r="AJ24" s="483">
        <v>0</v>
      </c>
    </row>
    <row r="25" spans="1:36" s="134" customFormat="1" ht="12.75" outlineLevel="1">
      <c r="A25" s="186">
        <v>614</v>
      </c>
      <c r="B25" s="186" t="s">
        <v>489</v>
      </c>
      <c r="C25" s="132"/>
      <c r="D25" s="132"/>
      <c r="F25" s="132"/>
      <c r="G25" s="185">
        <v>0</v>
      </c>
      <c r="H25" s="185">
        <v>0</v>
      </c>
      <c r="I25" s="185">
        <v>80275</v>
      </c>
      <c r="J25" s="185">
        <v>13141.666666666666</v>
      </c>
      <c r="K25" s="185">
        <v>20746.666666666668</v>
      </c>
      <c r="L25" s="185">
        <v>30468.333333333332</v>
      </c>
      <c r="M25" s="185">
        <v>0</v>
      </c>
      <c r="N25" s="185">
        <v>32027.3</v>
      </c>
      <c r="O25" s="185">
        <v>15073.333333333334</v>
      </c>
      <c r="P25" s="185">
        <v>57333.333333333336</v>
      </c>
      <c r="Q25" s="185">
        <v>25000</v>
      </c>
      <c r="R25" s="185">
        <v>8333.3333333333339</v>
      </c>
      <c r="S25" s="185">
        <f t="shared" si="16"/>
        <v>282398.96666666667</v>
      </c>
      <c r="U25" s="185">
        <f t="shared" si="23"/>
        <v>0</v>
      </c>
      <c r="V25" s="185">
        <f t="shared" si="23"/>
        <v>0</v>
      </c>
      <c r="W25" s="185">
        <f t="shared" si="23"/>
        <v>0</v>
      </c>
      <c r="X25" s="185">
        <f t="shared" si="23"/>
        <v>0</v>
      </c>
      <c r="Y25" s="185">
        <f t="shared" si="23"/>
        <v>0</v>
      </c>
      <c r="Z25" s="185">
        <f t="shared" si="23"/>
        <v>0</v>
      </c>
      <c r="AA25" s="185">
        <f t="shared" si="23"/>
        <v>0</v>
      </c>
      <c r="AB25" s="185">
        <f t="shared" si="23"/>
        <v>0</v>
      </c>
      <c r="AC25" s="185">
        <f t="shared" si="23"/>
        <v>0</v>
      </c>
      <c r="AD25" s="185">
        <f t="shared" si="23"/>
        <v>0</v>
      </c>
      <c r="AE25" s="185">
        <f t="shared" si="23"/>
        <v>0</v>
      </c>
      <c r="AF25" s="185">
        <f t="shared" si="23"/>
        <v>0</v>
      </c>
      <c r="AG25" s="185">
        <f t="shared" si="18"/>
        <v>0</v>
      </c>
      <c r="AI25" s="185">
        <f t="shared" si="21"/>
        <v>0</v>
      </c>
      <c r="AJ25" s="483">
        <v>0</v>
      </c>
    </row>
    <row r="26" spans="1:36" s="134" customFormat="1" ht="12.75" outlineLevel="1">
      <c r="A26" s="186">
        <v>619</v>
      </c>
      <c r="B26" s="186" t="s">
        <v>490</v>
      </c>
      <c r="C26" s="132"/>
      <c r="D26" s="132"/>
      <c r="F26" s="132"/>
      <c r="G26" s="185">
        <v>1925.7333333333336</v>
      </c>
      <c r="H26" s="185">
        <v>5355.333333333333</v>
      </c>
      <c r="I26" s="185">
        <v>5513.7866666666669</v>
      </c>
      <c r="J26" s="185">
        <v>3599.7866666666669</v>
      </c>
      <c r="K26" s="185">
        <v>5355.333333333333</v>
      </c>
      <c r="L26" s="185">
        <v>1998.3866666666665</v>
      </c>
      <c r="M26" s="185">
        <v>0</v>
      </c>
      <c r="N26" s="185">
        <v>414.48</v>
      </c>
      <c r="O26" s="185">
        <v>757.09333333333325</v>
      </c>
      <c r="P26" s="185">
        <v>2066.6666666666665</v>
      </c>
      <c r="Q26" s="185">
        <v>833.33333333333337</v>
      </c>
      <c r="R26" s="185">
        <v>833.33333333333337</v>
      </c>
      <c r="S26" s="185">
        <f t="shared" si="16"/>
        <v>28653.266666666663</v>
      </c>
      <c r="U26" s="185">
        <f t="shared" si="23"/>
        <v>0</v>
      </c>
      <c r="V26" s="185">
        <f t="shared" si="23"/>
        <v>0</v>
      </c>
      <c r="W26" s="185">
        <f t="shared" si="23"/>
        <v>0</v>
      </c>
      <c r="X26" s="185">
        <f t="shared" si="23"/>
        <v>0</v>
      </c>
      <c r="Y26" s="185">
        <f t="shared" si="23"/>
        <v>0</v>
      </c>
      <c r="Z26" s="185">
        <f t="shared" si="23"/>
        <v>0</v>
      </c>
      <c r="AA26" s="185">
        <f t="shared" si="23"/>
        <v>0</v>
      </c>
      <c r="AB26" s="185">
        <f t="shared" si="23"/>
        <v>0</v>
      </c>
      <c r="AC26" s="185">
        <f t="shared" si="23"/>
        <v>0</v>
      </c>
      <c r="AD26" s="185">
        <f t="shared" si="23"/>
        <v>0</v>
      </c>
      <c r="AE26" s="185">
        <f t="shared" si="23"/>
        <v>0</v>
      </c>
      <c r="AF26" s="185">
        <f t="shared" si="23"/>
        <v>0</v>
      </c>
      <c r="AG26" s="185">
        <f t="shared" si="18"/>
        <v>0</v>
      </c>
      <c r="AI26" s="185">
        <f t="shared" si="21"/>
        <v>0</v>
      </c>
      <c r="AJ26" s="483">
        <v>0</v>
      </c>
    </row>
    <row r="27" spans="1:36" s="134" customFormat="1" ht="12.75" outlineLevel="1">
      <c r="A27" s="182">
        <v>4</v>
      </c>
      <c r="B27" s="183" t="s">
        <v>478</v>
      </c>
      <c r="C27" s="132"/>
      <c r="D27" s="132"/>
      <c r="F27" s="132"/>
      <c r="G27" s="184">
        <v>0</v>
      </c>
      <c r="H27" s="184">
        <v>2388.231666666667</v>
      </c>
      <c r="I27" s="184">
        <v>3034.3333333333335</v>
      </c>
      <c r="J27" s="184">
        <v>2905.8933333333334</v>
      </c>
      <c r="K27" s="184">
        <v>3007.0466666666666</v>
      </c>
      <c r="L27" s="184">
        <v>1288.4549666666667</v>
      </c>
      <c r="M27" s="184">
        <v>4999.2666666666664</v>
      </c>
      <c r="N27" s="184">
        <v>21751.821666666667</v>
      </c>
      <c r="O27" s="184">
        <v>1772.5</v>
      </c>
      <c r="P27" s="184">
        <v>3766.6666666666665</v>
      </c>
      <c r="Q27" s="184">
        <v>2333.3333333333335</v>
      </c>
      <c r="R27" s="184">
        <v>2333.3333333333335</v>
      </c>
      <c r="S27" s="184">
        <f t="shared" si="16"/>
        <v>49580.881633333331</v>
      </c>
      <c r="U27" s="184">
        <f t="shared" ref="U27:AF27" si="24">SUM(U28:U30)</f>
        <v>0</v>
      </c>
      <c r="V27" s="184">
        <f t="shared" si="24"/>
        <v>0</v>
      </c>
      <c r="W27" s="184">
        <f t="shared" si="24"/>
        <v>0</v>
      </c>
      <c r="X27" s="184">
        <f t="shared" si="24"/>
        <v>0</v>
      </c>
      <c r="Y27" s="184">
        <f t="shared" si="24"/>
        <v>0</v>
      </c>
      <c r="Z27" s="184">
        <f t="shared" si="24"/>
        <v>0</v>
      </c>
      <c r="AA27" s="184">
        <f t="shared" si="24"/>
        <v>0</v>
      </c>
      <c r="AB27" s="184">
        <f t="shared" si="24"/>
        <v>0</v>
      </c>
      <c r="AC27" s="184">
        <f t="shared" si="24"/>
        <v>0</v>
      </c>
      <c r="AD27" s="184">
        <f t="shared" si="24"/>
        <v>0</v>
      </c>
      <c r="AE27" s="184">
        <f t="shared" si="24"/>
        <v>0</v>
      </c>
      <c r="AF27" s="184">
        <f t="shared" si="24"/>
        <v>0</v>
      </c>
      <c r="AG27" s="184">
        <f t="shared" si="18"/>
        <v>0</v>
      </c>
      <c r="AI27" s="185">
        <f t="shared" si="21"/>
        <v>0</v>
      </c>
      <c r="AJ27" s="483">
        <v>0</v>
      </c>
    </row>
    <row r="28" spans="1:36" s="134" customFormat="1" ht="12.75" outlineLevel="1">
      <c r="A28" s="186">
        <v>412</v>
      </c>
      <c r="B28" s="186" t="s">
        <v>491</v>
      </c>
      <c r="C28" s="132"/>
      <c r="D28" s="132"/>
      <c r="F28" s="132"/>
      <c r="G28" s="185">
        <v>0</v>
      </c>
      <c r="H28" s="185">
        <v>1553.4933333333336</v>
      </c>
      <c r="I28" s="185">
        <v>0</v>
      </c>
      <c r="J28" s="185">
        <v>2628.1066666666666</v>
      </c>
      <c r="K28" s="185">
        <v>3007.0466666666666</v>
      </c>
      <c r="L28" s="185">
        <v>333.94829999999996</v>
      </c>
      <c r="M28" s="185">
        <v>3119</v>
      </c>
      <c r="N28" s="185">
        <v>18153.154999999999</v>
      </c>
      <c r="O28" s="185">
        <v>789.16666666666663</v>
      </c>
      <c r="P28" s="185">
        <v>2833.3333333333335</v>
      </c>
      <c r="Q28" s="185">
        <v>666.66666666666663</v>
      </c>
      <c r="R28" s="185">
        <v>666.66666666666663</v>
      </c>
      <c r="S28" s="185">
        <f t="shared" si="16"/>
        <v>33750.583299999998</v>
      </c>
      <c r="U28" s="185">
        <f t="shared" ref="U28:AF30" si="25">$AJ28*G28</f>
        <v>0</v>
      </c>
      <c r="V28" s="185">
        <f t="shared" si="25"/>
        <v>0</v>
      </c>
      <c r="W28" s="185">
        <f t="shared" si="25"/>
        <v>0</v>
      </c>
      <c r="X28" s="185">
        <f t="shared" si="25"/>
        <v>0</v>
      </c>
      <c r="Y28" s="185">
        <f t="shared" si="25"/>
        <v>0</v>
      </c>
      <c r="Z28" s="185">
        <f t="shared" si="25"/>
        <v>0</v>
      </c>
      <c r="AA28" s="185">
        <f t="shared" si="25"/>
        <v>0</v>
      </c>
      <c r="AB28" s="185">
        <f t="shared" si="25"/>
        <v>0</v>
      </c>
      <c r="AC28" s="185">
        <f t="shared" si="25"/>
        <v>0</v>
      </c>
      <c r="AD28" s="185">
        <f t="shared" si="25"/>
        <v>0</v>
      </c>
      <c r="AE28" s="185">
        <f t="shared" si="25"/>
        <v>0</v>
      </c>
      <c r="AF28" s="185">
        <f t="shared" si="25"/>
        <v>0</v>
      </c>
      <c r="AG28" s="185">
        <f t="shared" si="18"/>
        <v>0</v>
      </c>
      <c r="AI28" s="185">
        <f t="shared" si="21"/>
        <v>0</v>
      </c>
      <c r="AJ28" s="483">
        <v>0</v>
      </c>
    </row>
    <row r="29" spans="1:36" s="134" customFormat="1" ht="12.75" outlineLevel="1">
      <c r="A29" s="186">
        <v>411</v>
      </c>
      <c r="B29" s="186" t="s">
        <v>492</v>
      </c>
      <c r="C29" s="132"/>
      <c r="D29" s="132"/>
      <c r="F29" s="132"/>
      <c r="G29" s="185">
        <v>0</v>
      </c>
      <c r="H29" s="185">
        <v>0</v>
      </c>
      <c r="I29" s="185">
        <v>3034.3333333333335</v>
      </c>
      <c r="J29" s="185">
        <v>277.78666666666669</v>
      </c>
      <c r="K29" s="185">
        <v>0</v>
      </c>
      <c r="L29" s="185">
        <v>954.50666666666666</v>
      </c>
      <c r="M29" s="185">
        <v>1880.2666666666667</v>
      </c>
      <c r="N29" s="185">
        <v>3598.6666666666665</v>
      </c>
      <c r="O29" s="185">
        <v>983.33333333333337</v>
      </c>
      <c r="P29" s="185">
        <v>933.33333333333337</v>
      </c>
      <c r="Q29" s="185">
        <v>1666.6666666666667</v>
      </c>
      <c r="R29" s="185">
        <v>1666.6666666666667</v>
      </c>
      <c r="S29" s="185">
        <f t="shared" si="16"/>
        <v>14995.56</v>
      </c>
      <c r="U29" s="185">
        <f t="shared" si="25"/>
        <v>0</v>
      </c>
      <c r="V29" s="185">
        <f t="shared" si="25"/>
        <v>0</v>
      </c>
      <c r="W29" s="185">
        <f t="shared" si="25"/>
        <v>0</v>
      </c>
      <c r="X29" s="185">
        <f t="shared" si="25"/>
        <v>0</v>
      </c>
      <c r="Y29" s="185">
        <f t="shared" si="25"/>
        <v>0</v>
      </c>
      <c r="Z29" s="185">
        <f t="shared" si="25"/>
        <v>0</v>
      </c>
      <c r="AA29" s="185">
        <f t="shared" si="25"/>
        <v>0</v>
      </c>
      <c r="AB29" s="185">
        <f t="shared" si="25"/>
        <v>0</v>
      </c>
      <c r="AC29" s="185">
        <f t="shared" si="25"/>
        <v>0</v>
      </c>
      <c r="AD29" s="185">
        <f t="shared" si="25"/>
        <v>0</v>
      </c>
      <c r="AE29" s="185">
        <f t="shared" si="25"/>
        <v>0</v>
      </c>
      <c r="AF29" s="185">
        <f t="shared" si="25"/>
        <v>0</v>
      </c>
      <c r="AG29" s="185">
        <f t="shared" si="18"/>
        <v>0</v>
      </c>
      <c r="AI29" s="185">
        <f t="shared" si="21"/>
        <v>0</v>
      </c>
      <c r="AJ29" s="483">
        <v>0</v>
      </c>
    </row>
    <row r="30" spans="1:36" s="134" customFormat="1" ht="12.75" outlineLevel="1">
      <c r="A30" s="186">
        <v>413</v>
      </c>
      <c r="B30" s="186" t="s">
        <v>493</v>
      </c>
      <c r="C30" s="132"/>
      <c r="D30" s="132"/>
      <c r="F30" s="132"/>
      <c r="G30" s="185">
        <v>0</v>
      </c>
      <c r="H30" s="185">
        <v>834.73833333333334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f t="shared" si="16"/>
        <v>834.73833333333334</v>
      </c>
      <c r="U30" s="185">
        <f t="shared" si="25"/>
        <v>0</v>
      </c>
      <c r="V30" s="185">
        <f t="shared" si="25"/>
        <v>0</v>
      </c>
      <c r="W30" s="185">
        <f t="shared" si="25"/>
        <v>0</v>
      </c>
      <c r="X30" s="185">
        <f t="shared" si="25"/>
        <v>0</v>
      </c>
      <c r="Y30" s="185">
        <f t="shared" si="25"/>
        <v>0</v>
      </c>
      <c r="Z30" s="185">
        <f t="shared" si="25"/>
        <v>0</v>
      </c>
      <c r="AA30" s="185">
        <f t="shared" si="25"/>
        <v>0</v>
      </c>
      <c r="AB30" s="185">
        <f t="shared" si="25"/>
        <v>0</v>
      </c>
      <c r="AC30" s="185">
        <f t="shared" si="25"/>
        <v>0</v>
      </c>
      <c r="AD30" s="185">
        <f t="shared" si="25"/>
        <v>0</v>
      </c>
      <c r="AE30" s="185">
        <f t="shared" si="25"/>
        <v>0</v>
      </c>
      <c r="AF30" s="185">
        <f t="shared" si="25"/>
        <v>0</v>
      </c>
      <c r="AG30" s="185">
        <f t="shared" si="18"/>
        <v>0</v>
      </c>
      <c r="AI30" s="185">
        <f t="shared" si="21"/>
        <v>0</v>
      </c>
      <c r="AJ30" s="483">
        <v>0</v>
      </c>
    </row>
    <row r="31" spans="1:36" s="134" customFormat="1" ht="12.75" outlineLevel="1">
      <c r="A31" s="182">
        <v>2</v>
      </c>
      <c r="B31" s="183" t="s">
        <v>146</v>
      </c>
      <c r="C31" s="132"/>
      <c r="D31" s="132"/>
      <c r="F31" s="132"/>
      <c r="G31" s="184">
        <v>33202.986666666671</v>
      </c>
      <c r="H31" s="184">
        <v>67166.831666666651</v>
      </c>
      <c r="I31" s="184">
        <v>91226.348333333313</v>
      </c>
      <c r="J31" s="184">
        <v>716370.96500000067</v>
      </c>
      <c r="K31" s="184">
        <v>71574.091666666645</v>
      </c>
      <c r="L31" s="184">
        <v>137614.63166666662</v>
      </c>
      <c r="M31" s="184">
        <v>37356.536666666667</v>
      </c>
      <c r="N31" s="184">
        <v>174962.90833333333</v>
      </c>
      <c r="O31" s="184">
        <v>22564.039999999997</v>
      </c>
      <c r="P31" s="184">
        <v>38673.333333333336</v>
      </c>
      <c r="Q31" s="184">
        <v>16666.666666666668</v>
      </c>
      <c r="R31" s="184">
        <v>16666.666666666668</v>
      </c>
      <c r="S31" s="184">
        <f t="shared" si="16"/>
        <v>1424046.0066666675</v>
      </c>
      <c r="U31" s="184">
        <f t="shared" ref="U31:AF31" si="26">SUM(U32:U36)</f>
        <v>0</v>
      </c>
      <c r="V31" s="184">
        <f t="shared" si="26"/>
        <v>0</v>
      </c>
      <c r="W31" s="184">
        <f t="shared" si="26"/>
        <v>1000000</v>
      </c>
      <c r="X31" s="184">
        <f t="shared" si="26"/>
        <v>0</v>
      </c>
      <c r="Y31" s="184">
        <f t="shared" si="26"/>
        <v>0</v>
      </c>
      <c r="Z31" s="184">
        <f t="shared" si="26"/>
        <v>3300000</v>
      </c>
      <c r="AA31" s="184">
        <f t="shared" si="26"/>
        <v>0</v>
      </c>
      <c r="AB31" s="184">
        <f t="shared" si="26"/>
        <v>0</v>
      </c>
      <c r="AC31" s="184">
        <f t="shared" si="26"/>
        <v>0</v>
      </c>
      <c r="AD31" s="184">
        <f t="shared" si="26"/>
        <v>500000</v>
      </c>
      <c r="AE31" s="184">
        <f t="shared" si="26"/>
        <v>500000</v>
      </c>
      <c r="AF31" s="184">
        <f t="shared" si="26"/>
        <v>0</v>
      </c>
      <c r="AG31" s="184">
        <f t="shared" si="18"/>
        <v>5300000</v>
      </c>
      <c r="AI31" s="185">
        <f t="shared" si="21"/>
        <v>0</v>
      </c>
      <c r="AJ31" s="483">
        <v>0</v>
      </c>
    </row>
    <row r="32" spans="1:36" s="134" customFormat="1" ht="12.75" outlineLevel="1">
      <c r="A32" s="186">
        <v>215</v>
      </c>
      <c r="B32" s="186" t="s">
        <v>494</v>
      </c>
      <c r="C32" s="132"/>
      <c r="D32" s="132"/>
      <c r="F32" s="132"/>
      <c r="G32" s="185">
        <v>33202.986666666671</v>
      </c>
      <c r="H32" s="185">
        <v>66036.076666666646</v>
      </c>
      <c r="I32" s="185">
        <v>52618.654999999977</v>
      </c>
      <c r="J32" s="185">
        <v>245986.12000000061</v>
      </c>
      <c r="K32" s="185">
        <v>61585.873333333315</v>
      </c>
      <c r="L32" s="185">
        <v>70384.851666666626</v>
      </c>
      <c r="M32" s="185">
        <v>14658.826666666666</v>
      </c>
      <c r="N32" s="185">
        <v>35100.120000000003</v>
      </c>
      <c r="O32" s="185">
        <v>14865.316666666666</v>
      </c>
      <c r="P32" s="185">
        <v>34666.666666666664</v>
      </c>
      <c r="Q32" s="185">
        <v>13333.333333333334</v>
      </c>
      <c r="R32" s="185">
        <v>13333.333333333334</v>
      </c>
      <c r="S32" s="185">
        <f t="shared" si="16"/>
        <v>655772.1600000005</v>
      </c>
      <c r="U32" s="185">
        <f t="shared" ref="U32:AF34" si="27">$AJ32*G32</f>
        <v>0</v>
      </c>
      <c r="V32" s="185">
        <f t="shared" si="27"/>
        <v>0</v>
      </c>
      <c r="W32" s="185">
        <f t="shared" si="27"/>
        <v>0</v>
      </c>
      <c r="X32" s="185">
        <f t="shared" si="27"/>
        <v>0</v>
      </c>
      <c r="Y32" s="185">
        <f t="shared" si="27"/>
        <v>0</v>
      </c>
      <c r="Z32" s="185">
        <f t="shared" si="27"/>
        <v>0</v>
      </c>
      <c r="AA32" s="185">
        <f t="shared" si="27"/>
        <v>0</v>
      </c>
      <c r="AB32" s="185">
        <f t="shared" si="27"/>
        <v>0</v>
      </c>
      <c r="AC32" s="185">
        <f t="shared" si="27"/>
        <v>0</v>
      </c>
      <c r="AD32" s="185">
        <f t="shared" si="27"/>
        <v>0</v>
      </c>
      <c r="AE32" s="185">
        <f t="shared" si="27"/>
        <v>0</v>
      </c>
      <c r="AF32" s="185">
        <f t="shared" si="27"/>
        <v>0</v>
      </c>
      <c r="AG32" s="185">
        <f t="shared" si="18"/>
        <v>0</v>
      </c>
      <c r="AI32" s="185">
        <f t="shared" si="21"/>
        <v>0</v>
      </c>
      <c r="AJ32" s="483">
        <v>0</v>
      </c>
    </row>
    <row r="33" spans="1:37" s="134" customFormat="1" ht="12.75" outlineLevel="1">
      <c r="A33" s="186">
        <v>213</v>
      </c>
      <c r="B33" s="186" t="s">
        <v>495</v>
      </c>
      <c r="C33" s="132"/>
      <c r="D33" s="132"/>
      <c r="F33" s="132"/>
      <c r="G33" s="185">
        <v>0</v>
      </c>
      <c r="H33" s="185">
        <v>1130.7550000000001</v>
      </c>
      <c r="I33" s="185">
        <v>32667.693333333329</v>
      </c>
      <c r="J33" s="185">
        <v>10539.701666666666</v>
      </c>
      <c r="K33" s="185">
        <v>9462.0216666666656</v>
      </c>
      <c r="L33" s="185">
        <v>42943.11333333332</v>
      </c>
      <c r="M33" s="185">
        <v>3031.0433333333335</v>
      </c>
      <c r="N33" s="185">
        <v>11633.621666666666</v>
      </c>
      <c r="O33" s="185">
        <v>7698.7233333333324</v>
      </c>
      <c r="P33" s="185">
        <v>3166.6666666666665</v>
      </c>
      <c r="Q33" s="185">
        <v>3333.3333333333335</v>
      </c>
      <c r="R33" s="185">
        <v>3333.3333333333335</v>
      </c>
      <c r="S33" s="185">
        <f t="shared" si="16"/>
        <v>128940.00666666664</v>
      </c>
      <c r="U33" s="185">
        <f t="shared" si="27"/>
        <v>0</v>
      </c>
      <c r="V33" s="185">
        <f t="shared" si="27"/>
        <v>0</v>
      </c>
      <c r="W33" s="185">
        <f t="shared" si="27"/>
        <v>0</v>
      </c>
      <c r="X33" s="185">
        <f t="shared" si="27"/>
        <v>0</v>
      </c>
      <c r="Y33" s="185">
        <f t="shared" si="27"/>
        <v>0</v>
      </c>
      <c r="Z33" s="185">
        <f t="shared" si="27"/>
        <v>0</v>
      </c>
      <c r="AA33" s="185">
        <f t="shared" si="27"/>
        <v>0</v>
      </c>
      <c r="AB33" s="185">
        <f t="shared" si="27"/>
        <v>0</v>
      </c>
      <c r="AC33" s="185">
        <f t="shared" si="27"/>
        <v>0</v>
      </c>
      <c r="AD33" s="185">
        <f t="shared" si="27"/>
        <v>0</v>
      </c>
      <c r="AE33" s="185">
        <f t="shared" si="27"/>
        <v>0</v>
      </c>
      <c r="AF33" s="185">
        <f t="shared" si="27"/>
        <v>0</v>
      </c>
      <c r="AG33" s="185">
        <f t="shared" si="18"/>
        <v>0</v>
      </c>
      <c r="AI33" s="185">
        <f t="shared" si="21"/>
        <v>0</v>
      </c>
      <c r="AJ33" s="483">
        <v>0</v>
      </c>
    </row>
    <row r="34" spans="1:37" s="134" customFormat="1" ht="12.75" outlineLevel="1">
      <c r="A34" s="186">
        <v>214</v>
      </c>
      <c r="B34" s="186" t="s">
        <v>496</v>
      </c>
      <c r="C34" s="132"/>
      <c r="D34" s="132"/>
      <c r="F34" s="132"/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162.5</v>
      </c>
      <c r="O34" s="185">
        <v>0</v>
      </c>
      <c r="P34" s="185">
        <v>840</v>
      </c>
      <c r="Q34" s="185">
        <v>0</v>
      </c>
      <c r="R34" s="185">
        <v>0</v>
      </c>
      <c r="S34" s="185">
        <f t="shared" si="16"/>
        <v>1002.5</v>
      </c>
      <c r="U34" s="185">
        <f t="shared" si="27"/>
        <v>0</v>
      </c>
      <c r="V34" s="185">
        <f t="shared" si="27"/>
        <v>0</v>
      </c>
      <c r="W34" s="185">
        <f t="shared" si="27"/>
        <v>0</v>
      </c>
      <c r="X34" s="185">
        <f t="shared" si="27"/>
        <v>0</v>
      </c>
      <c r="Y34" s="185">
        <f t="shared" si="27"/>
        <v>0</v>
      </c>
      <c r="Z34" s="185">
        <f t="shared" si="27"/>
        <v>0</v>
      </c>
      <c r="AA34" s="185">
        <f t="shared" si="27"/>
        <v>0</v>
      </c>
      <c r="AB34" s="185">
        <f t="shared" si="27"/>
        <v>0</v>
      </c>
      <c r="AC34" s="185">
        <f t="shared" si="27"/>
        <v>0</v>
      </c>
      <c r="AD34" s="185">
        <f t="shared" si="27"/>
        <v>0</v>
      </c>
      <c r="AE34" s="185">
        <f t="shared" si="27"/>
        <v>0</v>
      </c>
      <c r="AF34" s="185">
        <f t="shared" si="27"/>
        <v>0</v>
      </c>
      <c r="AG34" s="185">
        <f t="shared" si="18"/>
        <v>0</v>
      </c>
      <c r="AI34" s="185">
        <f t="shared" si="21"/>
        <v>0</v>
      </c>
      <c r="AJ34" s="483">
        <v>0</v>
      </c>
    </row>
    <row r="35" spans="1:37" s="134" customFormat="1" ht="12.75" outlineLevel="1">
      <c r="A35" s="186">
        <v>212</v>
      </c>
      <c r="B35" s="186" t="s">
        <v>497</v>
      </c>
      <c r="C35" s="132"/>
      <c r="D35" s="132"/>
      <c r="F35" s="132"/>
      <c r="G35" s="185">
        <v>0</v>
      </c>
      <c r="H35" s="185">
        <v>0</v>
      </c>
      <c r="I35" s="185">
        <v>0</v>
      </c>
      <c r="J35" s="185">
        <v>386880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  <c r="S35" s="185">
        <f t="shared" si="16"/>
        <v>386880</v>
      </c>
      <c r="U35" s="185"/>
      <c r="V35" s="185"/>
      <c r="W35" s="185">
        <v>1000000</v>
      </c>
      <c r="X35" s="185"/>
      <c r="Y35" s="185"/>
      <c r="Z35" s="185">
        <f>AI35</f>
        <v>2800000</v>
      </c>
      <c r="AA35" s="185"/>
      <c r="AB35" s="185"/>
      <c r="AC35" s="185"/>
      <c r="AD35" s="185"/>
      <c r="AE35" s="185"/>
      <c r="AF35" s="185"/>
      <c r="AG35" s="185">
        <f t="shared" si="18"/>
        <v>3800000</v>
      </c>
      <c r="AI35" s="185">
        <v>2800000</v>
      </c>
      <c r="AJ35" s="483">
        <v>0</v>
      </c>
      <c r="AK35" s="134" t="s">
        <v>175</v>
      </c>
    </row>
    <row r="36" spans="1:37" s="134" customFormat="1" ht="12.75" outlineLevel="1">
      <c r="A36" s="186">
        <v>211</v>
      </c>
      <c r="B36" s="186" t="s">
        <v>498</v>
      </c>
      <c r="C36" s="132"/>
      <c r="D36" s="132"/>
      <c r="F36" s="132"/>
      <c r="G36" s="185">
        <v>0</v>
      </c>
      <c r="H36" s="185">
        <v>0</v>
      </c>
      <c r="I36" s="185">
        <v>5940</v>
      </c>
      <c r="J36" s="185">
        <v>72965.143333333341</v>
      </c>
      <c r="K36" s="185">
        <v>526.1966666666666</v>
      </c>
      <c r="L36" s="185">
        <v>24286.666666666668</v>
      </c>
      <c r="M36" s="185">
        <v>19666.666666666668</v>
      </c>
      <c r="N36" s="185">
        <v>128066.66666666667</v>
      </c>
      <c r="O36" s="185">
        <v>0</v>
      </c>
      <c r="P36" s="185">
        <v>0</v>
      </c>
      <c r="Q36" s="185">
        <v>0</v>
      </c>
      <c r="R36" s="185">
        <v>0</v>
      </c>
      <c r="S36" s="185">
        <f t="shared" si="16"/>
        <v>251451.34000000003</v>
      </c>
      <c r="U36" s="185"/>
      <c r="V36" s="185"/>
      <c r="W36" s="185"/>
      <c r="X36" s="185"/>
      <c r="Y36" s="185"/>
      <c r="Z36" s="185">
        <v>500000</v>
      </c>
      <c r="AA36" s="185"/>
      <c r="AB36" s="185"/>
      <c r="AC36" s="185"/>
      <c r="AD36" s="185">
        <v>500000</v>
      </c>
      <c r="AE36" s="185">
        <v>500000</v>
      </c>
      <c r="AF36" s="185"/>
      <c r="AG36" s="185">
        <f t="shared" si="18"/>
        <v>1500000</v>
      </c>
      <c r="AI36" s="185">
        <f t="shared" ref="AI36:AI48" si="28">AJ36*S36</f>
        <v>0</v>
      </c>
      <c r="AJ36" s="483">
        <v>0</v>
      </c>
      <c r="AK36" s="134" t="s">
        <v>584</v>
      </c>
    </row>
    <row r="37" spans="1:37" s="134" customFormat="1" ht="12.75" outlineLevel="1">
      <c r="A37" s="182">
        <v>3</v>
      </c>
      <c r="B37" s="183" t="s">
        <v>479</v>
      </c>
      <c r="C37" s="132"/>
      <c r="D37" s="132"/>
      <c r="F37" s="132"/>
      <c r="G37" s="184">
        <f>SUM(G38:G45)</f>
        <v>9574.1666666666697</v>
      </c>
      <c r="H37" s="184">
        <f t="shared" ref="H37:R37" si="29">SUM(H38:H45)</f>
        <v>67882.621816666709</v>
      </c>
      <c r="I37" s="184">
        <f t="shared" si="29"/>
        <v>83655.121700000163</v>
      </c>
      <c r="J37" s="184">
        <f t="shared" si="29"/>
        <v>140819.0753333325</v>
      </c>
      <c r="K37" s="184">
        <f t="shared" si="29"/>
        <v>73643.96341666684</v>
      </c>
      <c r="L37" s="184">
        <f t="shared" si="29"/>
        <v>182502.80996666697</v>
      </c>
      <c r="M37" s="184">
        <f t="shared" si="29"/>
        <v>99660.481666666034</v>
      </c>
      <c r="N37" s="184">
        <f t="shared" si="29"/>
        <v>206142.47170000026</v>
      </c>
      <c r="O37" s="184">
        <f t="shared" si="29"/>
        <v>138673.81333333394</v>
      </c>
      <c r="P37" s="184">
        <f t="shared" si="29"/>
        <v>69600.153333333699</v>
      </c>
      <c r="Q37" s="184">
        <f t="shared" si="29"/>
        <v>100713.10000000027</v>
      </c>
      <c r="R37" s="184">
        <f t="shared" si="29"/>
        <v>97471.231666666747</v>
      </c>
      <c r="S37" s="184">
        <f t="shared" si="16"/>
        <v>1270339.0106000009</v>
      </c>
      <c r="U37" s="184">
        <f t="shared" ref="U37:AF37" si="30">SUM(U38:U45)</f>
        <v>0</v>
      </c>
      <c r="V37" s="184">
        <f t="shared" si="30"/>
        <v>0</v>
      </c>
      <c r="W37" s="184">
        <f t="shared" si="30"/>
        <v>0</v>
      </c>
      <c r="X37" s="184">
        <f t="shared" si="30"/>
        <v>0</v>
      </c>
      <c r="Y37" s="184">
        <f t="shared" si="30"/>
        <v>0</v>
      </c>
      <c r="Z37" s="184">
        <f t="shared" si="30"/>
        <v>0</v>
      </c>
      <c r="AA37" s="184">
        <f t="shared" si="30"/>
        <v>0</v>
      </c>
      <c r="AB37" s="184">
        <f t="shared" si="30"/>
        <v>0</v>
      </c>
      <c r="AC37" s="184">
        <f t="shared" si="30"/>
        <v>0</v>
      </c>
      <c r="AD37" s="184">
        <f t="shared" si="30"/>
        <v>0</v>
      </c>
      <c r="AE37" s="184">
        <f t="shared" si="30"/>
        <v>0</v>
      </c>
      <c r="AF37" s="184">
        <f t="shared" si="30"/>
        <v>0</v>
      </c>
      <c r="AG37" s="184">
        <f t="shared" si="18"/>
        <v>0</v>
      </c>
      <c r="AI37" s="185">
        <f t="shared" si="28"/>
        <v>0</v>
      </c>
      <c r="AJ37" s="483">
        <v>0</v>
      </c>
    </row>
    <row r="38" spans="1:37" s="134" customFormat="1" ht="12.75" outlineLevel="1">
      <c r="A38" s="186">
        <v>317</v>
      </c>
      <c r="B38" s="186" t="s">
        <v>499</v>
      </c>
      <c r="C38" s="132"/>
      <c r="D38" s="132"/>
      <c r="F38" s="132"/>
      <c r="G38" s="185">
        <v>0</v>
      </c>
      <c r="H38" s="185">
        <v>0</v>
      </c>
      <c r="I38" s="185">
        <v>610.66666666666663</v>
      </c>
      <c r="J38" s="185">
        <v>0</v>
      </c>
      <c r="K38" s="185">
        <v>0</v>
      </c>
      <c r="L38" s="185">
        <v>0</v>
      </c>
      <c r="M38" s="185">
        <v>1284.6666666666667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  <c r="S38" s="185">
        <f t="shared" si="16"/>
        <v>1895.3333333333335</v>
      </c>
      <c r="U38" s="185">
        <f t="shared" ref="U38:AF45" si="31">$AJ38*G38</f>
        <v>0</v>
      </c>
      <c r="V38" s="185">
        <f t="shared" si="31"/>
        <v>0</v>
      </c>
      <c r="W38" s="185">
        <f t="shared" si="31"/>
        <v>0</v>
      </c>
      <c r="X38" s="185">
        <f t="shared" si="31"/>
        <v>0</v>
      </c>
      <c r="Y38" s="185">
        <f t="shared" si="31"/>
        <v>0</v>
      </c>
      <c r="Z38" s="185">
        <f t="shared" si="31"/>
        <v>0</v>
      </c>
      <c r="AA38" s="185">
        <f t="shared" si="31"/>
        <v>0</v>
      </c>
      <c r="AB38" s="185">
        <f t="shared" si="31"/>
        <v>0</v>
      </c>
      <c r="AC38" s="185">
        <f t="shared" si="31"/>
        <v>0</v>
      </c>
      <c r="AD38" s="185">
        <f t="shared" si="31"/>
        <v>0</v>
      </c>
      <c r="AE38" s="185">
        <f t="shared" si="31"/>
        <v>0</v>
      </c>
      <c r="AF38" s="185">
        <f t="shared" si="31"/>
        <v>0</v>
      </c>
      <c r="AG38" s="185">
        <f t="shared" si="18"/>
        <v>0</v>
      </c>
      <c r="AI38" s="185">
        <f t="shared" si="28"/>
        <v>0</v>
      </c>
      <c r="AJ38" s="483">
        <v>0</v>
      </c>
    </row>
    <row r="39" spans="1:37" s="134" customFormat="1" ht="12.75" outlineLevel="1">
      <c r="A39" s="186">
        <v>311</v>
      </c>
      <c r="B39" s="186" t="s">
        <v>500</v>
      </c>
      <c r="C39" s="132"/>
      <c r="D39" s="132"/>
      <c r="F39" s="132"/>
      <c r="G39" s="185">
        <v>0</v>
      </c>
      <c r="H39" s="185">
        <v>489.16666666666669</v>
      </c>
      <c r="I39" s="185">
        <v>645</v>
      </c>
      <c r="J39" s="185">
        <v>2768.3333333333335</v>
      </c>
      <c r="K39" s="185">
        <v>0</v>
      </c>
      <c r="L39" s="185">
        <v>0</v>
      </c>
      <c r="M39" s="185">
        <v>2326.6666666666665</v>
      </c>
      <c r="N39" s="185">
        <v>0</v>
      </c>
      <c r="O39" s="185">
        <v>551.66666666666663</v>
      </c>
      <c r="P39" s="185">
        <v>1383.3333333333333</v>
      </c>
      <c r="Q39" s="185">
        <v>0</v>
      </c>
      <c r="R39" s="185">
        <v>0</v>
      </c>
      <c r="S39" s="185">
        <f t="shared" si="16"/>
        <v>8164.1666666666661</v>
      </c>
      <c r="U39" s="185">
        <f t="shared" si="31"/>
        <v>0</v>
      </c>
      <c r="V39" s="185">
        <f t="shared" si="31"/>
        <v>0</v>
      </c>
      <c r="W39" s="185">
        <f t="shared" si="31"/>
        <v>0</v>
      </c>
      <c r="X39" s="185">
        <f t="shared" si="31"/>
        <v>0</v>
      </c>
      <c r="Y39" s="185">
        <f t="shared" si="31"/>
        <v>0</v>
      </c>
      <c r="Z39" s="185">
        <f t="shared" si="31"/>
        <v>0</v>
      </c>
      <c r="AA39" s="185">
        <f t="shared" si="31"/>
        <v>0</v>
      </c>
      <c r="AB39" s="185">
        <f t="shared" si="31"/>
        <v>0</v>
      </c>
      <c r="AC39" s="185">
        <f t="shared" si="31"/>
        <v>0</v>
      </c>
      <c r="AD39" s="185">
        <f t="shared" si="31"/>
        <v>0</v>
      </c>
      <c r="AE39" s="185">
        <f t="shared" si="31"/>
        <v>0</v>
      </c>
      <c r="AF39" s="185">
        <f t="shared" si="31"/>
        <v>0</v>
      </c>
      <c r="AG39" s="185">
        <f t="shared" si="18"/>
        <v>0</v>
      </c>
      <c r="AI39" s="185">
        <f t="shared" si="28"/>
        <v>0</v>
      </c>
      <c r="AJ39" s="483">
        <v>0</v>
      </c>
    </row>
    <row r="40" spans="1:37" outlineLevel="1">
      <c r="A40" s="186">
        <v>316</v>
      </c>
      <c r="B40" s="186" t="s">
        <v>501</v>
      </c>
      <c r="G40" s="185">
        <v>5153.833333333333</v>
      </c>
      <c r="H40" s="185">
        <v>3847.3916499999996</v>
      </c>
      <c r="I40" s="185">
        <v>2797.3116333333332</v>
      </c>
      <c r="J40" s="185">
        <v>8811.6530000000002</v>
      </c>
      <c r="K40" s="185">
        <v>2431.64</v>
      </c>
      <c r="L40" s="185">
        <v>706</v>
      </c>
      <c r="M40" s="185">
        <v>4460.8200000000006</v>
      </c>
      <c r="N40" s="185">
        <v>453.9233333333334</v>
      </c>
      <c r="O40" s="185">
        <v>11168.091666666667</v>
      </c>
      <c r="P40" s="185">
        <v>11833.333333333334</v>
      </c>
      <c r="Q40" s="185">
        <v>3333.3333333333335</v>
      </c>
      <c r="R40" s="185">
        <v>3333.3333333333335</v>
      </c>
      <c r="S40" s="185">
        <f t="shared" si="16"/>
        <v>58330.664616666669</v>
      </c>
      <c r="U40" s="185">
        <f t="shared" si="31"/>
        <v>0</v>
      </c>
      <c r="V40" s="185">
        <f t="shared" si="31"/>
        <v>0</v>
      </c>
      <c r="W40" s="185">
        <f t="shared" si="31"/>
        <v>0</v>
      </c>
      <c r="X40" s="185">
        <f t="shared" si="31"/>
        <v>0</v>
      </c>
      <c r="Y40" s="185">
        <f t="shared" si="31"/>
        <v>0</v>
      </c>
      <c r="Z40" s="185">
        <f t="shared" si="31"/>
        <v>0</v>
      </c>
      <c r="AA40" s="185">
        <f t="shared" si="31"/>
        <v>0</v>
      </c>
      <c r="AB40" s="185">
        <f t="shared" si="31"/>
        <v>0</v>
      </c>
      <c r="AC40" s="185">
        <f t="shared" si="31"/>
        <v>0</v>
      </c>
      <c r="AD40" s="185">
        <f t="shared" si="31"/>
        <v>0</v>
      </c>
      <c r="AE40" s="185">
        <f t="shared" si="31"/>
        <v>0</v>
      </c>
      <c r="AF40" s="185">
        <f t="shared" si="31"/>
        <v>0</v>
      </c>
      <c r="AG40" s="185">
        <f t="shared" si="18"/>
        <v>0</v>
      </c>
      <c r="AI40" s="185">
        <f t="shared" si="28"/>
        <v>0</v>
      </c>
      <c r="AJ40" s="474">
        <v>0</v>
      </c>
    </row>
    <row r="41" spans="1:37" outlineLevel="1">
      <c r="A41" s="186">
        <v>319</v>
      </c>
      <c r="B41" s="186" t="s">
        <v>502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3070</v>
      </c>
      <c r="P41" s="185">
        <v>0</v>
      </c>
      <c r="Q41" s="185">
        <v>0</v>
      </c>
      <c r="R41" s="185">
        <v>0</v>
      </c>
      <c r="S41" s="185">
        <f t="shared" si="16"/>
        <v>3070</v>
      </c>
      <c r="U41" s="185">
        <f t="shared" si="31"/>
        <v>0</v>
      </c>
      <c r="V41" s="185">
        <f t="shared" si="31"/>
        <v>0</v>
      </c>
      <c r="W41" s="185">
        <f t="shared" si="31"/>
        <v>0</v>
      </c>
      <c r="X41" s="185">
        <f t="shared" si="31"/>
        <v>0</v>
      </c>
      <c r="Y41" s="185">
        <f t="shared" si="31"/>
        <v>0</v>
      </c>
      <c r="Z41" s="185">
        <f t="shared" si="31"/>
        <v>0</v>
      </c>
      <c r="AA41" s="185">
        <f t="shared" si="31"/>
        <v>0</v>
      </c>
      <c r="AB41" s="185">
        <f t="shared" si="31"/>
        <v>0</v>
      </c>
      <c r="AC41" s="185">
        <f t="shared" si="31"/>
        <v>0</v>
      </c>
      <c r="AD41" s="185">
        <f t="shared" si="31"/>
        <v>0</v>
      </c>
      <c r="AE41" s="185">
        <f t="shared" si="31"/>
        <v>0</v>
      </c>
      <c r="AF41" s="185">
        <f t="shared" si="31"/>
        <v>0</v>
      </c>
      <c r="AG41" s="185">
        <f t="shared" si="18"/>
        <v>0</v>
      </c>
      <c r="AI41" s="185">
        <f t="shared" si="28"/>
        <v>0</v>
      </c>
      <c r="AJ41" s="474">
        <v>0</v>
      </c>
    </row>
    <row r="42" spans="1:37" outlineLevel="1">
      <c r="A42" s="186">
        <v>313</v>
      </c>
      <c r="B42" s="186" t="s">
        <v>503</v>
      </c>
      <c r="G42" s="185">
        <v>0</v>
      </c>
      <c r="H42" s="185">
        <v>0</v>
      </c>
      <c r="I42" s="185">
        <v>102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  <c r="S42" s="185">
        <f t="shared" si="16"/>
        <v>102</v>
      </c>
      <c r="U42" s="185">
        <f t="shared" si="31"/>
        <v>0</v>
      </c>
      <c r="V42" s="185">
        <f t="shared" si="31"/>
        <v>0</v>
      </c>
      <c r="W42" s="185">
        <f t="shared" si="31"/>
        <v>0</v>
      </c>
      <c r="X42" s="185">
        <f t="shared" si="31"/>
        <v>0</v>
      </c>
      <c r="Y42" s="185">
        <f t="shared" si="31"/>
        <v>0</v>
      </c>
      <c r="Z42" s="185">
        <f t="shared" si="31"/>
        <v>0</v>
      </c>
      <c r="AA42" s="185">
        <f t="shared" si="31"/>
        <v>0</v>
      </c>
      <c r="AB42" s="185">
        <f t="shared" si="31"/>
        <v>0</v>
      </c>
      <c r="AC42" s="185">
        <f t="shared" si="31"/>
        <v>0</v>
      </c>
      <c r="AD42" s="185">
        <f t="shared" si="31"/>
        <v>0</v>
      </c>
      <c r="AE42" s="185">
        <f t="shared" si="31"/>
        <v>0</v>
      </c>
      <c r="AF42" s="185">
        <f t="shared" si="31"/>
        <v>0</v>
      </c>
      <c r="AG42" s="185">
        <f t="shared" si="18"/>
        <v>0</v>
      </c>
      <c r="AI42" s="185">
        <f t="shared" si="28"/>
        <v>0</v>
      </c>
      <c r="AJ42" s="474">
        <v>0</v>
      </c>
    </row>
    <row r="43" spans="1:37" outlineLevel="1">
      <c r="A43" s="186">
        <v>314</v>
      </c>
      <c r="B43" s="186" t="s">
        <v>504</v>
      </c>
      <c r="G43" s="185">
        <v>3977.1666666666715</v>
      </c>
      <c r="H43" s="185">
        <v>43216.630166666699</v>
      </c>
      <c r="I43" s="185">
        <v>61485.710066666834</v>
      </c>
      <c r="J43" s="185">
        <v>58829.848999999151</v>
      </c>
      <c r="K43" s="185">
        <v>57652.945083333514</v>
      </c>
      <c r="L43" s="185">
        <v>140852.614966667</v>
      </c>
      <c r="M43" s="185">
        <v>80583.368333332706</v>
      </c>
      <c r="N43" s="185">
        <v>183064.91503333359</v>
      </c>
      <c r="O43" s="185">
        <v>104393.78166666726</v>
      </c>
      <c r="P43" s="185">
        <v>32666.666666666668</v>
      </c>
      <c r="Q43" s="185">
        <v>85713.100000000268</v>
      </c>
      <c r="R43" s="185">
        <v>82471.231666666747</v>
      </c>
      <c r="S43" s="185">
        <f t="shared" si="16"/>
        <v>934907.97931666696</v>
      </c>
      <c r="U43" s="185">
        <f t="shared" si="31"/>
        <v>0</v>
      </c>
      <c r="V43" s="185">
        <f t="shared" si="31"/>
        <v>0</v>
      </c>
      <c r="W43" s="185">
        <f t="shared" si="31"/>
        <v>0</v>
      </c>
      <c r="X43" s="185">
        <f t="shared" si="31"/>
        <v>0</v>
      </c>
      <c r="Y43" s="185">
        <f t="shared" si="31"/>
        <v>0</v>
      </c>
      <c r="Z43" s="185">
        <f t="shared" si="31"/>
        <v>0</v>
      </c>
      <c r="AA43" s="185">
        <f t="shared" si="31"/>
        <v>0</v>
      </c>
      <c r="AB43" s="185">
        <f t="shared" si="31"/>
        <v>0</v>
      </c>
      <c r="AC43" s="185">
        <f t="shared" si="31"/>
        <v>0</v>
      </c>
      <c r="AD43" s="185">
        <f t="shared" si="31"/>
        <v>0</v>
      </c>
      <c r="AE43" s="185">
        <f t="shared" si="31"/>
        <v>0</v>
      </c>
      <c r="AF43" s="185">
        <f t="shared" si="31"/>
        <v>0</v>
      </c>
      <c r="AG43" s="185">
        <f t="shared" si="18"/>
        <v>0</v>
      </c>
      <c r="AI43" s="185">
        <f t="shared" si="28"/>
        <v>0</v>
      </c>
      <c r="AJ43" s="474">
        <v>0</v>
      </c>
    </row>
    <row r="44" spans="1:37" outlineLevel="1">
      <c r="A44" s="186">
        <v>312</v>
      </c>
      <c r="B44" s="186" t="s">
        <v>505</v>
      </c>
      <c r="G44" s="185">
        <v>0</v>
      </c>
      <c r="H44" s="185">
        <v>20329.433333333345</v>
      </c>
      <c r="I44" s="185">
        <v>13012.973333333333</v>
      </c>
      <c r="J44" s="185">
        <v>69195.280000000013</v>
      </c>
      <c r="K44" s="185">
        <v>12759.545</v>
      </c>
      <c r="L44" s="185">
        <v>38645.088333333319</v>
      </c>
      <c r="M44" s="185">
        <v>8928.743333333332</v>
      </c>
      <c r="N44" s="185">
        <v>10301.966666666665</v>
      </c>
      <c r="O44" s="185">
        <v>19490.273333333334</v>
      </c>
      <c r="P44" s="185">
        <v>19716.820000000356</v>
      </c>
      <c r="Q44" s="185">
        <v>11666.666666666666</v>
      </c>
      <c r="R44" s="185">
        <v>11666.666666666666</v>
      </c>
      <c r="S44" s="185">
        <f t="shared" si="16"/>
        <v>235713.45666666704</v>
      </c>
      <c r="U44" s="185">
        <f t="shared" si="31"/>
        <v>0</v>
      </c>
      <c r="V44" s="185">
        <f t="shared" si="31"/>
        <v>0</v>
      </c>
      <c r="W44" s="185">
        <f t="shared" si="31"/>
        <v>0</v>
      </c>
      <c r="X44" s="185">
        <f t="shared" si="31"/>
        <v>0</v>
      </c>
      <c r="Y44" s="185">
        <f t="shared" si="31"/>
        <v>0</v>
      </c>
      <c r="Z44" s="185">
        <f t="shared" si="31"/>
        <v>0</v>
      </c>
      <c r="AA44" s="185">
        <f t="shared" si="31"/>
        <v>0</v>
      </c>
      <c r="AB44" s="185">
        <f t="shared" si="31"/>
        <v>0</v>
      </c>
      <c r="AC44" s="185">
        <f t="shared" si="31"/>
        <v>0</v>
      </c>
      <c r="AD44" s="185">
        <f t="shared" si="31"/>
        <v>0</v>
      </c>
      <c r="AE44" s="185">
        <f t="shared" si="31"/>
        <v>0</v>
      </c>
      <c r="AF44" s="185">
        <f t="shared" si="31"/>
        <v>0</v>
      </c>
      <c r="AG44" s="185">
        <f t="shared" si="18"/>
        <v>0</v>
      </c>
      <c r="AI44" s="185">
        <f t="shared" si="28"/>
        <v>0</v>
      </c>
      <c r="AJ44" s="474">
        <v>0</v>
      </c>
    </row>
    <row r="45" spans="1:37" ht="15.75" outlineLevel="1" thickBot="1">
      <c r="A45" s="186">
        <v>315</v>
      </c>
      <c r="B45" s="186" t="s">
        <v>506</v>
      </c>
      <c r="G45" s="185">
        <v>443.16666666666669</v>
      </c>
      <c r="H45" s="185">
        <v>0</v>
      </c>
      <c r="I45" s="185">
        <v>5001.46</v>
      </c>
      <c r="J45" s="185">
        <v>1213.96</v>
      </c>
      <c r="K45" s="185">
        <v>799.83333333333337</v>
      </c>
      <c r="L45" s="185">
        <v>2299.1066666666666</v>
      </c>
      <c r="M45" s="185">
        <v>2076.2166666666667</v>
      </c>
      <c r="N45" s="185">
        <v>12321.666666666666</v>
      </c>
      <c r="O45" s="185">
        <v>0</v>
      </c>
      <c r="P45" s="185">
        <v>4000</v>
      </c>
      <c r="Q45" s="185">
        <v>0</v>
      </c>
      <c r="R45" s="185">
        <v>0</v>
      </c>
      <c r="S45" s="185">
        <f t="shared" si="16"/>
        <v>28155.41</v>
      </c>
      <c r="U45" s="185">
        <f t="shared" si="31"/>
        <v>0</v>
      </c>
      <c r="V45" s="185">
        <f t="shared" si="31"/>
        <v>0</v>
      </c>
      <c r="W45" s="185">
        <f t="shared" si="31"/>
        <v>0</v>
      </c>
      <c r="X45" s="185">
        <f t="shared" si="31"/>
        <v>0</v>
      </c>
      <c r="Y45" s="185">
        <f t="shared" si="31"/>
        <v>0</v>
      </c>
      <c r="Z45" s="185">
        <f t="shared" si="31"/>
        <v>0</v>
      </c>
      <c r="AA45" s="185">
        <f t="shared" si="31"/>
        <v>0</v>
      </c>
      <c r="AB45" s="185">
        <f t="shared" si="31"/>
        <v>0</v>
      </c>
      <c r="AC45" s="185">
        <f t="shared" si="31"/>
        <v>0</v>
      </c>
      <c r="AD45" s="185">
        <f t="shared" si="31"/>
        <v>0</v>
      </c>
      <c r="AE45" s="185">
        <f t="shared" si="31"/>
        <v>0</v>
      </c>
      <c r="AF45" s="185">
        <f t="shared" si="31"/>
        <v>0</v>
      </c>
      <c r="AG45" s="185">
        <f t="shared" si="18"/>
        <v>0</v>
      </c>
      <c r="AI45" s="185">
        <f t="shared" si="28"/>
        <v>0</v>
      </c>
      <c r="AJ45" s="474">
        <v>0</v>
      </c>
    </row>
    <row r="46" spans="1:37" ht="15.75" outlineLevel="1" thickTop="1">
      <c r="B46" s="187" t="s">
        <v>176</v>
      </c>
      <c r="G46" s="188">
        <f t="shared" ref="G46:Q46" si="32">SUM(G14,G17,G27,G31,G37)</f>
        <v>93334.693333333344</v>
      </c>
      <c r="H46" s="188">
        <f t="shared" si="32"/>
        <v>209089.29333333336</v>
      </c>
      <c r="I46" s="188">
        <f t="shared" si="32"/>
        <v>452888.69833333336</v>
      </c>
      <c r="J46" s="188">
        <f t="shared" si="32"/>
        <v>1110330.5866666664</v>
      </c>
      <c r="K46" s="188">
        <f t="shared" si="32"/>
        <v>444746.04666666687</v>
      </c>
      <c r="L46" s="188">
        <f t="shared" si="32"/>
        <v>582478.37666666694</v>
      </c>
      <c r="M46" s="188">
        <f t="shared" si="32"/>
        <v>326115.34833333269</v>
      </c>
      <c r="N46" s="188">
        <f t="shared" si="32"/>
        <v>614413.97500000021</v>
      </c>
      <c r="O46" s="188">
        <f t="shared" si="32"/>
        <v>302903.12833333388</v>
      </c>
      <c r="P46" s="188">
        <f t="shared" si="32"/>
        <v>427273.48666666704</v>
      </c>
      <c r="Q46" s="188">
        <f t="shared" si="32"/>
        <v>270546.43333333358</v>
      </c>
      <c r="R46" s="188">
        <f t="shared" ref="R46" si="33">SUM(R14,R17,R27,R31,R37)</f>
        <v>232304.56500000009</v>
      </c>
      <c r="S46" s="188">
        <f t="shared" si="16"/>
        <v>5066424.6316666678</v>
      </c>
      <c r="U46" s="188">
        <f t="shared" ref="U46:AF46" si="34">SUM(U14,U17,U27,U31,U37)</f>
        <v>0</v>
      </c>
      <c r="V46" s="188">
        <f t="shared" si="34"/>
        <v>0</v>
      </c>
      <c r="W46" s="188">
        <f t="shared" si="34"/>
        <v>1000000</v>
      </c>
      <c r="X46" s="188">
        <f t="shared" si="34"/>
        <v>0</v>
      </c>
      <c r="Y46" s="188">
        <f t="shared" si="34"/>
        <v>0</v>
      </c>
      <c r="Z46" s="188">
        <f t="shared" si="34"/>
        <v>3300000</v>
      </c>
      <c r="AA46" s="188">
        <f t="shared" si="34"/>
        <v>0</v>
      </c>
      <c r="AB46" s="188">
        <f t="shared" si="34"/>
        <v>0</v>
      </c>
      <c r="AC46" s="188">
        <f t="shared" si="34"/>
        <v>0</v>
      </c>
      <c r="AD46" s="188">
        <f t="shared" si="34"/>
        <v>500000</v>
      </c>
      <c r="AE46" s="188">
        <f t="shared" si="34"/>
        <v>500000</v>
      </c>
      <c r="AF46" s="188">
        <f t="shared" si="34"/>
        <v>0</v>
      </c>
      <c r="AG46" s="188">
        <f t="shared" si="18"/>
        <v>5300000</v>
      </c>
      <c r="AI46" s="185">
        <f t="shared" si="28"/>
        <v>0</v>
      </c>
      <c r="AJ46" s="152"/>
    </row>
    <row r="47" spans="1:37" s="134" customFormat="1" ht="13.5" outlineLevel="1" thickBot="1">
      <c r="A47" s="132">
        <v>316</v>
      </c>
      <c r="B47" s="189" t="s">
        <v>177</v>
      </c>
      <c r="C47" s="133"/>
      <c r="D47" s="133"/>
      <c r="E47" s="135"/>
      <c r="F47" s="133"/>
      <c r="G47" s="190">
        <f t="shared" ref="G47:R47" si="35">G5-G46</f>
        <v>0</v>
      </c>
      <c r="H47" s="190">
        <f t="shared" si="35"/>
        <v>0</v>
      </c>
      <c r="I47" s="190">
        <f t="shared" si="35"/>
        <v>0</v>
      </c>
      <c r="J47" s="190">
        <f t="shared" si="35"/>
        <v>0</v>
      </c>
      <c r="K47" s="190">
        <f t="shared" si="35"/>
        <v>0</v>
      </c>
      <c r="L47" s="190">
        <f t="shared" si="35"/>
        <v>0</v>
      </c>
      <c r="M47" s="190">
        <f t="shared" si="35"/>
        <v>0</v>
      </c>
      <c r="N47" s="190">
        <f t="shared" si="35"/>
        <v>0</v>
      </c>
      <c r="O47" s="190">
        <f t="shared" si="35"/>
        <v>0</v>
      </c>
      <c r="P47" s="190">
        <f t="shared" si="35"/>
        <v>0</v>
      </c>
      <c r="Q47" s="190">
        <f t="shared" si="35"/>
        <v>0</v>
      </c>
      <c r="R47" s="190">
        <f t="shared" si="35"/>
        <v>0</v>
      </c>
      <c r="S47" s="190">
        <f t="shared" si="16"/>
        <v>0</v>
      </c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0">
        <f t="shared" si="18"/>
        <v>0</v>
      </c>
      <c r="AI47" s="185">
        <f t="shared" si="28"/>
        <v>0</v>
      </c>
      <c r="AJ47" s="172"/>
    </row>
    <row r="48" spans="1:37" ht="15.75" outlineLevel="1" thickTop="1">
      <c r="B48" s="187" t="s">
        <v>178</v>
      </c>
      <c r="G48" s="188">
        <f>G46+G47</f>
        <v>93334.693333333344</v>
      </c>
      <c r="H48" s="188">
        <f t="shared" ref="H48:R48" si="36">H46+H47</f>
        <v>209089.29333333336</v>
      </c>
      <c r="I48" s="188">
        <f t="shared" si="36"/>
        <v>452888.69833333336</v>
      </c>
      <c r="J48" s="188">
        <f t="shared" si="36"/>
        <v>1110330.5866666664</v>
      </c>
      <c r="K48" s="188">
        <f t="shared" si="36"/>
        <v>444746.04666666687</v>
      </c>
      <c r="L48" s="188">
        <f t="shared" si="36"/>
        <v>582478.37666666694</v>
      </c>
      <c r="M48" s="188">
        <f t="shared" si="36"/>
        <v>326115.34833333269</v>
      </c>
      <c r="N48" s="188">
        <f t="shared" si="36"/>
        <v>614413.97500000021</v>
      </c>
      <c r="O48" s="188">
        <f t="shared" si="36"/>
        <v>302903.12833333388</v>
      </c>
      <c r="P48" s="188">
        <f t="shared" si="36"/>
        <v>427273.48666666704</v>
      </c>
      <c r="Q48" s="188">
        <f t="shared" si="36"/>
        <v>270546.43333333358</v>
      </c>
      <c r="R48" s="188">
        <f t="shared" si="36"/>
        <v>232304.56500000009</v>
      </c>
      <c r="S48" s="188">
        <f t="shared" si="16"/>
        <v>5066424.6316666678</v>
      </c>
      <c r="U48" s="188">
        <f t="shared" ref="U48:AF48" si="37">U46+U47</f>
        <v>0</v>
      </c>
      <c r="V48" s="188">
        <f t="shared" si="37"/>
        <v>0</v>
      </c>
      <c r="W48" s="188">
        <f t="shared" si="37"/>
        <v>1000000</v>
      </c>
      <c r="X48" s="188">
        <f t="shared" si="37"/>
        <v>0</v>
      </c>
      <c r="Y48" s="188">
        <f t="shared" si="37"/>
        <v>0</v>
      </c>
      <c r="Z48" s="188">
        <f t="shared" si="37"/>
        <v>3300000</v>
      </c>
      <c r="AA48" s="188">
        <f t="shared" si="37"/>
        <v>0</v>
      </c>
      <c r="AB48" s="188">
        <f t="shared" si="37"/>
        <v>0</v>
      </c>
      <c r="AC48" s="188">
        <f t="shared" si="37"/>
        <v>0</v>
      </c>
      <c r="AD48" s="188">
        <f t="shared" si="37"/>
        <v>500000</v>
      </c>
      <c r="AE48" s="188">
        <f t="shared" si="37"/>
        <v>500000</v>
      </c>
      <c r="AF48" s="188">
        <f t="shared" si="37"/>
        <v>0</v>
      </c>
      <c r="AG48" s="188">
        <f t="shared" si="18"/>
        <v>5300000</v>
      </c>
      <c r="AI48" s="185">
        <f t="shared" si="28"/>
        <v>0</v>
      </c>
      <c r="AJ48" s="152"/>
    </row>
    <row r="49" spans="6:36">
      <c r="F49" s="45"/>
      <c r="AJ49" s="152"/>
    </row>
    <row r="50" spans="6:36">
      <c r="F50" s="45"/>
      <c r="AJ50" s="152"/>
    </row>
    <row r="51" spans="6:36">
      <c r="F51" s="45"/>
      <c r="AJ51" s="152"/>
    </row>
    <row r="52" spans="6:36">
      <c r="F52" s="45"/>
      <c r="AJ52" s="152"/>
    </row>
  </sheetData>
  <pageMargins left="0.35433070866141736" right="0.35433070866141736" top="0.98425196850393704" bottom="0.78740157480314965" header="0.51181102362204722" footer="0.51181102362204722"/>
  <pageSetup paperSize="9" scale="6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J47"/>
  <sheetViews>
    <sheetView showGridLines="0" zoomScale="120" zoomScaleNormal="120" zoomScalePageLayoutView="120" workbookViewId="0">
      <pane xSplit="2" ySplit="4" topLeftCell="D13" activePane="bottomRight" state="frozen"/>
      <selection activeCell="D23" sqref="D23"/>
      <selection pane="topRight" activeCell="D23" sqref="D23"/>
      <selection pane="bottomLeft" activeCell="D23" sqref="D23"/>
      <selection pane="bottomRight" activeCell="AH33" sqref="AH33"/>
    </sheetView>
  </sheetViews>
  <sheetFormatPr defaultColWidth="10.85546875" defaultRowHeight="15" outlineLevelRow="1" outlineLevelCol="1"/>
  <cols>
    <col min="1" max="1" width="10.140625" style="45" hidden="1" customWidth="1" outlineLevel="1"/>
    <col min="2" max="2" width="34.7109375" style="45" bestFit="1" customWidth="1" collapsed="1"/>
    <col min="3" max="5" width="15.28515625" style="45" customWidth="1" outlineLevel="1"/>
    <col min="6" max="6" width="6.7109375" customWidth="1"/>
    <col min="7" max="12" width="15.140625" style="45" hidden="1" customWidth="1" outlineLevel="1"/>
    <col min="13" max="18" width="13.28515625" style="45" hidden="1" customWidth="1" outlineLevel="1"/>
    <col min="19" max="19" width="19.42578125" style="45" customWidth="1" collapsed="1"/>
    <col min="20" max="20" width="8.140625" style="45" customWidth="1"/>
    <col min="21" max="21" width="16.28515625" style="45" hidden="1" customWidth="1" outlineLevel="1"/>
    <col min="22" max="25" width="11.140625" style="45" hidden="1" customWidth="1" outlineLevel="1"/>
    <col min="26" max="26" width="11.7109375" style="45" hidden="1" customWidth="1" outlineLevel="1"/>
    <col min="27" max="32" width="11.140625" style="45" hidden="1" customWidth="1" outlineLevel="1"/>
    <col min="33" max="33" width="19.28515625" style="45" customWidth="1" collapsed="1"/>
    <col min="34" max="34" width="12.140625" style="45" bestFit="1" customWidth="1"/>
    <col min="35" max="35" width="17.42578125" style="45" bestFit="1" customWidth="1"/>
    <col min="36" max="16384" width="10.85546875" style="45"/>
  </cols>
  <sheetData>
    <row r="1" spans="1:36" s="88" customFormat="1">
      <c r="A1" s="36"/>
      <c r="B1" s="37" t="s">
        <v>77</v>
      </c>
      <c r="G1" s="312">
        <v>68</v>
      </c>
      <c r="H1" s="312">
        <v>69</v>
      </c>
      <c r="I1" s="312">
        <v>70</v>
      </c>
      <c r="J1" s="312">
        <v>71</v>
      </c>
      <c r="K1" s="312">
        <v>72</v>
      </c>
      <c r="L1" s="312">
        <v>73</v>
      </c>
      <c r="M1" s="312">
        <v>74</v>
      </c>
      <c r="N1" s="312">
        <v>75</v>
      </c>
      <c r="O1" s="312">
        <v>76</v>
      </c>
      <c r="P1" s="312">
        <v>77</v>
      </c>
      <c r="Q1" s="312">
        <v>78</v>
      </c>
      <c r="R1" s="312">
        <v>79</v>
      </c>
    </row>
    <row r="2" spans="1:36" s="156" customFormat="1" ht="12.75">
      <c r="A2" s="153"/>
      <c r="B2" s="154"/>
      <c r="C2" s="155">
        <v>41974</v>
      </c>
      <c r="D2" s="155">
        <v>42339</v>
      </c>
      <c r="E2" s="155">
        <v>42705</v>
      </c>
      <c r="G2" s="155">
        <v>42736</v>
      </c>
      <c r="H2" s="155">
        <v>42767</v>
      </c>
      <c r="I2" s="155">
        <v>42795</v>
      </c>
      <c r="J2" s="155">
        <v>42826</v>
      </c>
      <c r="K2" s="155">
        <v>42856</v>
      </c>
      <c r="L2" s="155">
        <v>42887</v>
      </c>
      <c r="M2" s="155">
        <v>42917</v>
      </c>
      <c r="N2" s="155">
        <v>42948</v>
      </c>
      <c r="O2" s="155">
        <v>42979</v>
      </c>
      <c r="P2" s="155">
        <v>43009</v>
      </c>
      <c r="Q2" s="155">
        <v>43040</v>
      </c>
      <c r="R2" s="157">
        <v>43070</v>
      </c>
      <c r="S2" s="192">
        <v>2017</v>
      </c>
      <c r="T2" s="212">
        <v>2017</v>
      </c>
      <c r="U2" s="159">
        <v>43101</v>
      </c>
      <c r="V2" s="159">
        <v>43132</v>
      </c>
      <c r="W2" s="159">
        <v>43160</v>
      </c>
      <c r="X2" s="159">
        <v>43191</v>
      </c>
      <c r="Y2" s="159">
        <v>43221</v>
      </c>
      <c r="Z2" s="159">
        <v>43252</v>
      </c>
      <c r="AA2" s="159">
        <v>43282</v>
      </c>
      <c r="AB2" s="159">
        <v>43313</v>
      </c>
      <c r="AC2" s="159">
        <v>43344</v>
      </c>
      <c r="AD2" s="159">
        <v>43374</v>
      </c>
      <c r="AE2" s="159">
        <v>43405</v>
      </c>
      <c r="AF2" s="159">
        <v>43435</v>
      </c>
      <c r="AG2" s="160">
        <v>2018</v>
      </c>
      <c r="AH2" s="212">
        <v>2018</v>
      </c>
    </row>
    <row r="3" spans="1:36" s="156" customFormat="1" ht="12.75">
      <c r="A3" s="153"/>
      <c r="B3" s="161"/>
      <c r="C3" s="162" t="s">
        <v>0</v>
      </c>
      <c r="D3" s="162" t="s">
        <v>0</v>
      </c>
      <c r="E3" s="162" t="s">
        <v>0</v>
      </c>
      <c r="G3" s="162" t="s">
        <v>130</v>
      </c>
      <c r="H3" s="162" t="s">
        <v>130</v>
      </c>
      <c r="I3" s="162" t="s">
        <v>130</v>
      </c>
      <c r="J3" s="162" t="s">
        <v>130</v>
      </c>
      <c r="K3" s="162" t="s">
        <v>130</v>
      </c>
      <c r="L3" s="162" t="s">
        <v>130</v>
      </c>
      <c r="M3" s="162" t="s">
        <v>130</v>
      </c>
      <c r="N3" s="162" t="s">
        <v>130</v>
      </c>
      <c r="O3" s="162" t="s">
        <v>130</v>
      </c>
      <c r="P3" s="162" t="s">
        <v>130</v>
      </c>
      <c r="Q3" s="162" t="s">
        <v>130</v>
      </c>
      <c r="R3" s="163" t="s">
        <v>130</v>
      </c>
      <c r="S3" s="163" t="s">
        <v>0</v>
      </c>
      <c r="T3" s="158"/>
      <c r="U3" s="164" t="s">
        <v>130</v>
      </c>
      <c r="V3" s="164" t="s">
        <v>130</v>
      </c>
      <c r="W3" s="164" t="s">
        <v>130</v>
      </c>
      <c r="X3" s="164" t="s">
        <v>130</v>
      </c>
      <c r="Y3" s="164" t="s">
        <v>130</v>
      </c>
      <c r="Z3" s="164" t="s">
        <v>130</v>
      </c>
      <c r="AA3" s="164" t="s">
        <v>130</v>
      </c>
      <c r="AB3" s="164" t="s">
        <v>130</v>
      </c>
      <c r="AC3" s="164" t="s">
        <v>130</v>
      </c>
      <c r="AD3" s="164" t="s">
        <v>130</v>
      </c>
      <c r="AE3" s="164" t="s">
        <v>130</v>
      </c>
      <c r="AF3" s="164" t="s">
        <v>130</v>
      </c>
      <c r="AG3" s="164" t="s">
        <v>0</v>
      </c>
      <c r="AH3" s="158"/>
    </row>
    <row r="4" spans="1:36" s="156" customFormat="1" ht="12.75">
      <c r="A4" s="153"/>
      <c r="B4" s="154" t="s">
        <v>78</v>
      </c>
      <c r="C4" s="165" t="s">
        <v>79</v>
      </c>
      <c r="D4" s="165" t="s">
        <v>79</v>
      </c>
      <c r="E4" s="165" t="s">
        <v>79</v>
      </c>
      <c r="G4" s="165" t="s">
        <v>79</v>
      </c>
      <c r="H4" s="165" t="s">
        <v>79</v>
      </c>
      <c r="I4" s="165" t="s">
        <v>79</v>
      </c>
      <c r="J4" s="165" t="s">
        <v>79</v>
      </c>
      <c r="K4" s="165" t="s">
        <v>79</v>
      </c>
      <c r="L4" s="165" t="s">
        <v>79</v>
      </c>
      <c r="M4" s="165" t="s">
        <v>79</v>
      </c>
      <c r="N4" s="165" t="s">
        <v>79</v>
      </c>
      <c r="O4" s="165" t="s">
        <v>79</v>
      </c>
      <c r="P4" s="165" t="s">
        <v>79</v>
      </c>
      <c r="Q4" s="165" t="s">
        <v>79</v>
      </c>
      <c r="R4" s="166" t="s">
        <v>131</v>
      </c>
      <c r="S4" s="166" t="s">
        <v>131</v>
      </c>
      <c r="T4" s="158"/>
      <c r="U4" s="167" t="s">
        <v>132</v>
      </c>
      <c r="V4" s="167" t="s">
        <v>132</v>
      </c>
      <c r="W4" s="167" t="s">
        <v>132</v>
      </c>
      <c r="X4" s="167" t="s">
        <v>132</v>
      </c>
      <c r="Y4" s="167" t="s">
        <v>132</v>
      </c>
      <c r="Z4" s="167" t="s">
        <v>132</v>
      </c>
      <c r="AA4" s="167" t="s">
        <v>132</v>
      </c>
      <c r="AB4" s="167" t="s">
        <v>132</v>
      </c>
      <c r="AC4" s="167" t="s">
        <v>132</v>
      </c>
      <c r="AD4" s="167" t="s">
        <v>132</v>
      </c>
      <c r="AE4" s="167" t="s">
        <v>132</v>
      </c>
      <c r="AF4" s="167" t="s">
        <v>132</v>
      </c>
      <c r="AG4" s="167" t="s">
        <v>133</v>
      </c>
      <c r="AH4" s="158"/>
    </row>
    <row r="5" spans="1:36" s="171" customFormat="1" ht="12.75">
      <c r="A5" s="168">
        <v>1200</v>
      </c>
      <c r="B5" s="169" t="s">
        <v>81</v>
      </c>
      <c r="C5" s="170">
        <f>'PLAN 2018'!C6</f>
        <v>10110672.111666599</v>
      </c>
      <c r="D5" s="170">
        <f>'PLAN 2018'!D6</f>
        <v>10964703.805</v>
      </c>
      <c r="E5" s="170">
        <f>'PLAN 2018'!E6</f>
        <v>12264240.465</v>
      </c>
      <c r="G5" s="170">
        <f>G39</f>
        <v>933566.84569028043</v>
      </c>
      <c r="H5" s="170">
        <f t="shared" ref="H5:R5" si="0">H39</f>
        <v>966635.09406168247</v>
      </c>
      <c r="I5" s="170">
        <f t="shared" si="0"/>
        <v>1307237.0209771569</v>
      </c>
      <c r="J5" s="170">
        <f t="shared" si="0"/>
        <v>1028073.6141105068</v>
      </c>
      <c r="K5" s="170">
        <f t="shared" si="0"/>
        <v>1024656.0991840106</v>
      </c>
      <c r="L5" s="170">
        <f t="shared" si="0"/>
        <v>1193132.3803437899</v>
      </c>
      <c r="M5" s="170">
        <f t="shared" si="0"/>
        <v>1000390.4668536013</v>
      </c>
      <c r="N5" s="170">
        <f t="shared" si="0"/>
        <v>1372606.4283160619</v>
      </c>
      <c r="O5" s="170">
        <f t="shared" si="0"/>
        <v>1375761.4947143861</v>
      </c>
      <c r="P5" s="170">
        <f t="shared" si="0"/>
        <v>1197774.8948612197</v>
      </c>
      <c r="Q5" s="170">
        <f t="shared" si="0"/>
        <v>1099342.9251709476</v>
      </c>
      <c r="R5" s="170">
        <f t="shared" si="0"/>
        <v>1049152.6126321498</v>
      </c>
      <c r="S5" s="170">
        <f>SUM(G5:R5)</f>
        <v>13548329.876915794</v>
      </c>
      <c r="U5" s="170">
        <f>SUM(U15,U18,U21,U24,U27,U30,U33,U36)</f>
        <v>4383.3204964732358</v>
      </c>
      <c r="V5" s="170">
        <f t="shared" ref="V5:AF5" si="1">SUM(V15,V18,V21,V24,V27,V30,V33,V36)</f>
        <v>199799.62464905882</v>
      </c>
      <c r="W5" s="170">
        <f t="shared" si="1"/>
        <v>1934568.0428732277</v>
      </c>
      <c r="X5" s="170">
        <f t="shared" si="1"/>
        <v>419554.08908467263</v>
      </c>
      <c r="Y5" s="170">
        <f t="shared" si="1"/>
        <v>546542.16319753777</v>
      </c>
      <c r="Z5" s="170">
        <f t="shared" si="1"/>
        <v>1505749.5173160068</v>
      </c>
      <c r="AA5" s="170">
        <f t="shared" si="1"/>
        <v>424675.01630992652</v>
      </c>
      <c r="AB5" s="170">
        <f t="shared" si="1"/>
        <v>2803579.1645558928</v>
      </c>
      <c r="AC5" s="170">
        <f t="shared" si="1"/>
        <v>2874714.6561450749</v>
      </c>
      <c r="AD5" s="170">
        <f t="shared" si="1"/>
        <v>1768774.4964972546</v>
      </c>
      <c r="AE5" s="170">
        <f t="shared" si="1"/>
        <v>1081256.9967153496</v>
      </c>
      <c r="AF5" s="170">
        <f t="shared" si="1"/>
        <v>731336.35206081916</v>
      </c>
      <c r="AG5" s="170">
        <f>SUM(U5:AF5)</f>
        <v>14294933.439901296</v>
      </c>
      <c r="AJ5" s="172"/>
    </row>
    <row r="6" spans="1:36" s="171" customFormat="1" ht="12.75" outlineLevel="1">
      <c r="A6" s="173">
        <v>2210</v>
      </c>
      <c r="B6" s="174" t="s">
        <v>89</v>
      </c>
      <c r="C6" s="170">
        <f>'PLAN 2018'!C15</f>
        <v>0</v>
      </c>
      <c r="D6" s="170">
        <f>'PLAN 2018'!D15</f>
        <v>0</v>
      </c>
      <c r="E6" s="170">
        <f>'PLAN 2018'!E15</f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f t="shared" ref="S6:S7" si="2">SUM(G6:R6)</f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f>SUM(U6:AF6)</f>
        <v>0</v>
      </c>
    </row>
    <row r="7" spans="1:36" s="171" customFormat="1" ht="12.75" outlineLevel="1">
      <c r="A7" s="173">
        <v>2220</v>
      </c>
      <c r="B7" s="174" t="s">
        <v>90</v>
      </c>
      <c r="C7" s="170">
        <f>'PLAN 2018'!C16</f>
        <v>5055336.0558332996</v>
      </c>
      <c r="D7" s="170">
        <f>'PLAN 2018'!D16</f>
        <v>5811293.0166500006</v>
      </c>
      <c r="E7" s="170">
        <f>'PLAN 2018'!E16</f>
        <v>6867974.6604000004</v>
      </c>
      <c r="F7" s="172">
        <f>E7/E5</f>
        <v>0.56000000000000005</v>
      </c>
      <c r="G7" s="170">
        <f>0.56*G5</f>
        <v>522797.4335865571</v>
      </c>
      <c r="H7" s="170">
        <f t="shared" ref="H7:R7" si="3">0.56*H5</f>
        <v>541315.65267454227</v>
      </c>
      <c r="I7" s="170">
        <f t="shared" si="3"/>
        <v>732052.73174720793</v>
      </c>
      <c r="J7" s="170">
        <f t="shared" si="3"/>
        <v>575721.22390188393</v>
      </c>
      <c r="K7" s="170">
        <f t="shared" si="3"/>
        <v>573807.41554304597</v>
      </c>
      <c r="L7" s="170">
        <f t="shared" si="3"/>
        <v>668154.13299252244</v>
      </c>
      <c r="M7" s="170">
        <f t="shared" si="3"/>
        <v>560218.6614380168</v>
      </c>
      <c r="N7" s="170">
        <f t="shared" si="3"/>
        <v>768659.5998569947</v>
      </c>
      <c r="O7" s="170">
        <f t="shared" si="3"/>
        <v>770426.43704005622</v>
      </c>
      <c r="P7" s="170">
        <f t="shared" si="3"/>
        <v>670753.94112228311</v>
      </c>
      <c r="Q7" s="170">
        <f t="shared" si="3"/>
        <v>615632.03809573071</v>
      </c>
      <c r="R7" s="170">
        <f t="shared" si="3"/>
        <v>587525.46307400393</v>
      </c>
      <c r="S7" s="170">
        <f t="shared" si="2"/>
        <v>7587064.7310728449</v>
      </c>
      <c r="T7" s="172">
        <f>S7/S5</f>
        <v>0.56000000000000005</v>
      </c>
      <c r="U7" s="170">
        <f>osobni!EE47</f>
        <v>647428.79999999993</v>
      </c>
      <c r="V7" s="170">
        <f>osobni!EF47</f>
        <v>646108.79999999993</v>
      </c>
      <c r="W7" s="170">
        <f>osobni!EG47</f>
        <v>646768.79999999993</v>
      </c>
      <c r="X7" s="170">
        <f>osobni!EH47</f>
        <v>646108.79999999993</v>
      </c>
      <c r="Y7" s="170">
        <f>osobni!EI47</f>
        <v>646768.79999999993</v>
      </c>
      <c r="Z7" s="170">
        <f>osobni!EJ47</f>
        <v>646768.79999999993</v>
      </c>
      <c r="AA7" s="170">
        <f>osobni!EK47</f>
        <v>646108.79999999993</v>
      </c>
      <c r="AB7" s="170">
        <f>osobni!EL47</f>
        <v>648088.79999999993</v>
      </c>
      <c r="AC7" s="170">
        <f>osobni!EM47</f>
        <v>645448.79999999993</v>
      </c>
      <c r="AD7" s="170">
        <f>osobni!EN47</f>
        <v>648088.79999999993</v>
      </c>
      <c r="AE7" s="170">
        <f>osobni!EO47</f>
        <v>647428.79999999993</v>
      </c>
      <c r="AF7" s="170">
        <f>osobni!EP47</f>
        <v>644788.79999999993</v>
      </c>
      <c r="AG7" s="468">
        <f>SUM(U7:AF7)</f>
        <v>7759905.5999999987</v>
      </c>
      <c r="AH7" s="172">
        <f>AG7/AG5</f>
        <v>0.54284307322060388</v>
      </c>
    </row>
    <row r="8" spans="1:36" s="171" customFormat="1" ht="12.75" outlineLevel="1">
      <c r="A8" s="173">
        <v>2230</v>
      </c>
      <c r="B8" s="174" t="s">
        <v>91</v>
      </c>
      <c r="C8" s="175">
        <f>'PLAN 2018'!C17</f>
        <v>0</v>
      </c>
      <c r="D8" s="175">
        <f>'PLAN 2018'!D17</f>
        <v>0</v>
      </c>
      <c r="E8" s="175">
        <f>'PLAN 2018'!E17</f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f t="shared" ref="S8:S9" si="4">SUM(G8:R8)</f>
        <v>0</v>
      </c>
      <c r="U8" s="175">
        <v>0</v>
      </c>
      <c r="V8" s="175">
        <v>0</v>
      </c>
      <c r="W8" s="175">
        <v>0</v>
      </c>
      <c r="X8" s="175">
        <v>0</v>
      </c>
      <c r="Y8" s="175">
        <v>0</v>
      </c>
      <c r="Z8" s="175">
        <v>0</v>
      </c>
      <c r="AA8" s="175">
        <v>0</v>
      </c>
      <c r="AB8" s="175">
        <v>0</v>
      </c>
      <c r="AC8" s="175">
        <v>0</v>
      </c>
      <c r="AD8" s="175">
        <v>0</v>
      </c>
      <c r="AE8" s="175">
        <v>0</v>
      </c>
      <c r="AF8" s="175">
        <v>0</v>
      </c>
      <c r="AG8" s="175">
        <f t="shared" ref="AG8" si="5">SUM(U8:AF8)</f>
        <v>0</v>
      </c>
    </row>
    <row r="9" spans="1:36" s="134" customFormat="1" ht="12.75" outlineLevel="1" collapsed="1">
      <c r="A9" s="134">
        <v>9120</v>
      </c>
      <c r="B9" s="176" t="s">
        <v>92</v>
      </c>
      <c r="C9" s="170">
        <f>'PLAN 2018'!C18</f>
        <v>5055336.0558332996</v>
      </c>
      <c r="D9" s="170">
        <f>'PLAN 2018'!D18</f>
        <v>5811293.0166500006</v>
      </c>
      <c r="E9" s="170">
        <f>'PLAN 2018'!E18</f>
        <v>6867974.6604000004</v>
      </c>
      <c r="F9" s="171"/>
      <c r="G9" s="170">
        <f>SUM(G6:G8)</f>
        <v>522797.4335865571</v>
      </c>
      <c r="H9" s="170">
        <f t="shared" ref="H9:R9" si="6">SUM(H6:H8)</f>
        <v>541315.65267454227</v>
      </c>
      <c r="I9" s="170">
        <f t="shared" si="6"/>
        <v>732052.73174720793</v>
      </c>
      <c r="J9" s="170">
        <f t="shared" si="6"/>
        <v>575721.22390188393</v>
      </c>
      <c r="K9" s="170">
        <f t="shared" si="6"/>
        <v>573807.41554304597</v>
      </c>
      <c r="L9" s="170">
        <f t="shared" si="6"/>
        <v>668154.13299252244</v>
      </c>
      <c r="M9" s="170">
        <f t="shared" si="6"/>
        <v>560218.6614380168</v>
      </c>
      <c r="N9" s="170">
        <f t="shared" si="6"/>
        <v>768659.5998569947</v>
      </c>
      <c r="O9" s="170">
        <f t="shared" si="6"/>
        <v>770426.43704005622</v>
      </c>
      <c r="P9" s="170">
        <f t="shared" si="6"/>
        <v>670753.94112228311</v>
      </c>
      <c r="Q9" s="170">
        <f t="shared" si="6"/>
        <v>615632.03809573071</v>
      </c>
      <c r="R9" s="170">
        <f t="shared" si="6"/>
        <v>587525.46307400393</v>
      </c>
      <c r="S9" s="170">
        <f t="shared" si="4"/>
        <v>7587064.7310728449</v>
      </c>
      <c r="T9" s="171"/>
      <c r="U9" s="170">
        <f t="shared" ref="U9" si="7">SUM(U6:U8)</f>
        <v>647428.79999999993</v>
      </c>
      <c r="V9" s="170">
        <f t="shared" ref="V9" si="8">SUM(V6:V8)</f>
        <v>646108.79999999993</v>
      </c>
      <c r="W9" s="170">
        <f t="shared" ref="W9" si="9">SUM(W6:W8)</f>
        <v>646768.79999999993</v>
      </c>
      <c r="X9" s="170">
        <f t="shared" ref="X9" si="10">SUM(X6:X8)</f>
        <v>646108.79999999993</v>
      </c>
      <c r="Y9" s="170">
        <f t="shared" ref="Y9" si="11">SUM(Y6:Y8)</f>
        <v>646768.79999999993</v>
      </c>
      <c r="Z9" s="170">
        <f t="shared" ref="Z9" si="12">SUM(Z6:Z8)</f>
        <v>646768.79999999993</v>
      </c>
      <c r="AA9" s="170">
        <f t="shared" ref="AA9" si="13">SUM(AA6:AA8)</f>
        <v>646108.79999999993</v>
      </c>
      <c r="AB9" s="170">
        <f t="shared" ref="AB9" si="14">SUM(AB6:AB8)</f>
        <v>648088.79999999993</v>
      </c>
      <c r="AC9" s="170">
        <f t="shared" ref="AC9" si="15">SUM(AC6:AC8)</f>
        <v>645448.79999999993</v>
      </c>
      <c r="AD9" s="170">
        <f t="shared" ref="AD9" si="16">SUM(AD6:AD8)</f>
        <v>648088.79999999993</v>
      </c>
      <c r="AE9" s="170">
        <f t="shared" ref="AE9" si="17">SUM(AE6:AE8)</f>
        <v>647428.79999999993</v>
      </c>
      <c r="AF9" s="170">
        <f t="shared" ref="AF9" si="18">SUM(AF6:AF8)</f>
        <v>644788.79999999993</v>
      </c>
      <c r="AG9" s="170">
        <f t="shared" ref="AG9" si="19">SUM(AG6:AG8)</f>
        <v>7759905.5999999987</v>
      </c>
    </row>
    <row r="10" spans="1:36" s="134" customFormat="1" ht="12.75" outlineLevel="1">
      <c r="A10" s="173">
        <v>9220</v>
      </c>
      <c r="B10" s="174" t="s">
        <v>8</v>
      </c>
      <c r="C10" s="170">
        <f>C5-C9</f>
        <v>5055336.0558332996</v>
      </c>
      <c r="D10" s="170">
        <f>D5-D9</f>
        <v>5153410.7883499991</v>
      </c>
      <c r="E10" s="170">
        <f>E5-E9</f>
        <v>5396265.8045999995</v>
      </c>
      <c r="F10" s="171"/>
      <c r="G10" s="170">
        <f t="shared" ref="G10:R10" si="20">G5-G9</f>
        <v>410769.41210372333</v>
      </c>
      <c r="H10" s="170">
        <f t="shared" si="20"/>
        <v>425319.44138714019</v>
      </c>
      <c r="I10" s="170">
        <f t="shared" si="20"/>
        <v>575184.289229949</v>
      </c>
      <c r="J10" s="170">
        <f t="shared" si="20"/>
        <v>452352.39020862291</v>
      </c>
      <c r="K10" s="170">
        <f t="shared" si="20"/>
        <v>450848.68364096468</v>
      </c>
      <c r="L10" s="170">
        <f t="shared" si="20"/>
        <v>524978.24735126749</v>
      </c>
      <c r="M10" s="170">
        <f t="shared" si="20"/>
        <v>440171.80541558447</v>
      </c>
      <c r="N10" s="170">
        <f t="shared" si="20"/>
        <v>603946.82845906715</v>
      </c>
      <c r="O10" s="170">
        <f t="shared" si="20"/>
        <v>605335.05767432984</v>
      </c>
      <c r="P10" s="170">
        <f t="shared" si="20"/>
        <v>527020.95373893657</v>
      </c>
      <c r="Q10" s="170">
        <f t="shared" si="20"/>
        <v>483710.88707521686</v>
      </c>
      <c r="R10" s="170">
        <f t="shared" si="20"/>
        <v>461627.1495581459</v>
      </c>
      <c r="S10" s="170">
        <f>S5-S9</f>
        <v>5961265.1458429489</v>
      </c>
      <c r="T10" s="171"/>
      <c r="U10" s="170">
        <f t="shared" ref="U10" si="21">U5-U9</f>
        <v>-643045.4795035267</v>
      </c>
      <c r="V10" s="170">
        <f t="shared" ref="V10" si="22">V5-V9</f>
        <v>-446309.17535094114</v>
      </c>
      <c r="W10" s="170">
        <f t="shared" ref="W10" si="23">W5-W9</f>
        <v>1287799.2428732277</v>
      </c>
      <c r="X10" s="170">
        <f t="shared" ref="X10" si="24">X5-X9</f>
        <v>-226554.7109153273</v>
      </c>
      <c r="Y10" s="170">
        <f t="shared" ref="Y10" si="25">Y5-Y9</f>
        <v>-100226.63680246216</v>
      </c>
      <c r="Z10" s="170">
        <f t="shared" ref="Z10" si="26">Z5-Z9</f>
        <v>858980.71731600689</v>
      </c>
      <c r="AA10" s="170">
        <f t="shared" ref="AA10" si="27">AA5-AA9</f>
        <v>-221433.78369007341</v>
      </c>
      <c r="AB10" s="170">
        <f t="shared" ref="AB10" si="28">AB5-AB9</f>
        <v>2155490.364555893</v>
      </c>
      <c r="AC10" s="170">
        <f t="shared" ref="AC10" si="29">AC5-AC9</f>
        <v>2229265.8561450751</v>
      </c>
      <c r="AD10" s="170">
        <f t="shared" ref="AD10" si="30">AD5-AD9</f>
        <v>1120685.6964972545</v>
      </c>
      <c r="AE10" s="170">
        <f t="shared" ref="AE10" si="31">AE5-AE9</f>
        <v>433828.19671534968</v>
      </c>
      <c r="AF10" s="170">
        <f t="shared" ref="AF10" si="32">AF5-AF9</f>
        <v>86547.552060819231</v>
      </c>
      <c r="AG10" s="170">
        <f t="shared" ref="AG10" si="33">AG5-AG9</f>
        <v>6535027.8399012974</v>
      </c>
    </row>
    <row r="11" spans="1:36" s="134" customFormat="1" ht="12.75" outlineLevel="1">
      <c r="A11" s="177">
        <v>9292</v>
      </c>
      <c r="B11" s="178" t="s">
        <v>6</v>
      </c>
      <c r="C11" s="179">
        <f>C10/C5</f>
        <v>0.5</v>
      </c>
      <c r="D11" s="179">
        <f>D10/D5</f>
        <v>0.46999999999999992</v>
      </c>
      <c r="E11" s="179">
        <f>E10/E5</f>
        <v>0.43999999999999995</v>
      </c>
      <c r="F11" s="180"/>
      <c r="G11" s="179">
        <f t="shared" ref="G11:R11" si="34">G10/G5</f>
        <v>0.43999999999999995</v>
      </c>
      <c r="H11" s="179">
        <f t="shared" si="34"/>
        <v>0.43999999999999989</v>
      </c>
      <c r="I11" s="179">
        <f t="shared" si="34"/>
        <v>0.43999999999999995</v>
      </c>
      <c r="J11" s="179">
        <f t="shared" si="34"/>
        <v>0.43999999999999989</v>
      </c>
      <c r="K11" s="179">
        <f t="shared" si="34"/>
        <v>0.44</v>
      </c>
      <c r="L11" s="179">
        <f t="shared" si="34"/>
        <v>0.43999999999999995</v>
      </c>
      <c r="M11" s="179">
        <f t="shared" si="34"/>
        <v>0.43999999999999989</v>
      </c>
      <c r="N11" s="179">
        <f t="shared" si="34"/>
        <v>0.43999999999999995</v>
      </c>
      <c r="O11" s="179">
        <f t="shared" si="34"/>
        <v>0.44</v>
      </c>
      <c r="P11" s="179">
        <f t="shared" si="34"/>
        <v>0.43999999999999995</v>
      </c>
      <c r="Q11" s="179">
        <f t="shared" si="34"/>
        <v>0.43999999999999995</v>
      </c>
      <c r="R11" s="179">
        <f t="shared" si="34"/>
        <v>0.44</v>
      </c>
      <c r="S11" s="179">
        <f>S10/S5</f>
        <v>0.43999999999999995</v>
      </c>
      <c r="T11" s="180"/>
      <c r="U11" s="179">
        <f t="shared" ref="U11" si="35">U10/U5</f>
        <v>-146.70282038945427</v>
      </c>
      <c r="V11" s="179">
        <f t="shared" ref="V11" si="36">V10/V5</f>
        <v>-2.2337838528719356</v>
      </c>
      <c r="W11" s="179">
        <f t="shared" ref="W11" si="37">W10/W5</f>
        <v>0.66567792620030231</v>
      </c>
      <c r="X11" s="179">
        <f t="shared" ref="X11" si="38">X10/X5</f>
        <v>-0.5399892810235607</v>
      </c>
      <c r="Y11" s="179">
        <f t="shared" ref="Y11" si="39">Y10/Y5</f>
        <v>-0.18338317434850321</v>
      </c>
      <c r="Z11" s="179">
        <f t="shared" ref="Z11" si="40">Z10/Z5</f>
        <v>0.57046720416496433</v>
      </c>
      <c r="AA11" s="179">
        <f t="shared" ref="AA11" si="41">AA10/AA5</f>
        <v>-0.52141937996294019</v>
      </c>
      <c r="AB11" s="179">
        <f t="shared" ref="AB11" si="42">AB10/AB5</f>
        <v>0.76883520601328847</v>
      </c>
      <c r="AC11" s="179">
        <f t="shared" ref="AC11" si="43">AC10/AC5</f>
        <v>0.77547378533021727</v>
      </c>
      <c r="AD11" s="179">
        <f t="shared" ref="AD11" si="44">AD10/AD5</f>
        <v>0.63359444559867562</v>
      </c>
      <c r="AE11" s="179">
        <f t="shared" ref="AE11" si="45">AE10/AE5</f>
        <v>0.4012257937134614</v>
      </c>
      <c r="AF11" s="179">
        <f t="shared" ref="AF11" si="46">AF10/AF5</f>
        <v>0.11834165198672059</v>
      </c>
      <c r="AG11" s="179">
        <f t="shared" ref="AG11" si="47">AG10/AG5</f>
        <v>0.45715692677939607</v>
      </c>
    </row>
    <row r="12" spans="1:36" s="134" customFormat="1" ht="12.75">
      <c r="F12" s="181"/>
      <c r="AJ12" s="172"/>
    </row>
    <row r="13" spans="1:36" s="201" customFormat="1" ht="24" customHeight="1" outlineLevel="1">
      <c r="A13" s="197"/>
      <c r="B13" s="198" t="s">
        <v>137</v>
      </c>
      <c r="C13" s="199"/>
      <c r="D13" s="200"/>
      <c r="E13" s="200"/>
      <c r="G13" s="199">
        <v>5</v>
      </c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202"/>
      <c r="T13" s="134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202">
        <f>SUM(U13:AF13)</f>
        <v>0</v>
      </c>
      <c r="AI13" s="134"/>
      <c r="AJ13" s="172"/>
    </row>
    <row r="14" spans="1:36" s="201" customFormat="1" ht="12.75" outlineLevel="1">
      <c r="A14" s="197"/>
      <c r="B14" s="198" t="s">
        <v>136</v>
      </c>
      <c r="C14" s="199"/>
      <c r="D14" s="200"/>
      <c r="E14" s="200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134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 t="e">
        <f>AG15/AG13</f>
        <v>#DIV/0!</v>
      </c>
      <c r="AI14" s="134"/>
      <c r="AJ14" s="172"/>
    </row>
    <row r="15" spans="1:36" s="205" customFormat="1" ht="12.75">
      <c r="A15" s="133" t="s">
        <v>180</v>
      </c>
      <c r="B15" s="204" t="s">
        <v>135</v>
      </c>
      <c r="C15" s="199"/>
      <c r="D15" s="200"/>
      <c r="E15" s="200"/>
      <c r="G15" s="202">
        <v>289</v>
      </c>
      <c r="H15" s="202">
        <v>3534.136</v>
      </c>
      <c r="I15" s="202">
        <v>81362.111999999994</v>
      </c>
      <c r="J15" s="202">
        <v>21426.46</v>
      </c>
      <c r="K15" s="202">
        <v>12238.723999999998</v>
      </c>
      <c r="L15" s="202">
        <v>40205.216</v>
      </c>
      <c r="M15" s="202">
        <v>164</v>
      </c>
      <c r="N15" s="202">
        <v>5279.6</v>
      </c>
      <c r="O15" s="202">
        <v>3784</v>
      </c>
      <c r="P15" s="202">
        <v>4105</v>
      </c>
      <c r="Q15" s="202">
        <v>3000</v>
      </c>
      <c r="R15" s="202">
        <v>3000</v>
      </c>
      <c r="S15" s="458">
        <f t="shared" ref="S15" si="48">SUM(G15:R15)</f>
        <v>178388.24799999999</v>
      </c>
      <c r="T15" s="134"/>
      <c r="U15" s="202">
        <f>$AH15/$S15*G15</f>
        <v>324.0123755237509</v>
      </c>
      <c r="V15" s="202">
        <f t="shared" ref="V15:AF15" si="49">$AH15/$S15*H15</f>
        <v>3962.2968885259756</v>
      </c>
      <c r="W15" s="202">
        <f t="shared" si="49"/>
        <v>91219.139054496467</v>
      </c>
      <c r="X15" s="202">
        <f t="shared" si="49"/>
        <v>24022.277521330892</v>
      </c>
      <c r="Y15" s="202">
        <f t="shared" si="49"/>
        <v>13721.446493493226</v>
      </c>
      <c r="Z15" s="202">
        <f t="shared" si="49"/>
        <v>45076.081469223245</v>
      </c>
      <c r="AA15" s="202">
        <f t="shared" si="49"/>
        <v>183.86861448406626</v>
      </c>
      <c r="AB15" s="202">
        <f t="shared" si="49"/>
        <v>5919.2240062809533</v>
      </c>
      <c r="AC15" s="202">
        <f t="shared" si="49"/>
        <v>4242.4319341933333</v>
      </c>
      <c r="AD15" s="202">
        <f t="shared" si="49"/>
        <v>4602.3211125432435</v>
      </c>
      <c r="AE15" s="202">
        <f t="shared" si="49"/>
        <v>3363.4502649524316</v>
      </c>
      <c r="AF15" s="202">
        <f t="shared" si="49"/>
        <v>3363.4502649524316</v>
      </c>
      <c r="AG15" s="202">
        <f>SUM(U15:AF15)</f>
        <v>200000.00000000003</v>
      </c>
      <c r="AH15" s="484">
        <v>200000</v>
      </c>
      <c r="AI15" s="206"/>
      <c r="AJ15" s="172"/>
    </row>
    <row r="16" spans="1:36" s="201" customFormat="1" ht="24" customHeight="1" outlineLevel="1">
      <c r="A16" s="197"/>
      <c r="B16" s="198" t="s">
        <v>137</v>
      </c>
      <c r="C16" s="199"/>
      <c r="D16" s="200"/>
      <c r="E16" s="200"/>
      <c r="G16" s="199"/>
      <c r="H16" s="199"/>
      <c r="I16" s="199"/>
      <c r="J16" s="199"/>
      <c r="K16" s="199"/>
      <c r="L16" s="199"/>
      <c r="M16" s="199"/>
      <c r="N16" s="199"/>
      <c r="O16" s="199"/>
      <c r="P16" s="199">
        <v>38</v>
      </c>
      <c r="Q16" s="199">
        <v>25</v>
      </c>
      <c r="R16" s="199">
        <v>20</v>
      </c>
      <c r="S16" s="202"/>
      <c r="T16" s="134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202">
        <f>SUM(U16:AF16)</f>
        <v>0</v>
      </c>
      <c r="AH16" s="485"/>
      <c r="AJ16" s="172"/>
    </row>
    <row r="17" spans="1:36" s="201" customFormat="1" ht="12.75" outlineLevel="1">
      <c r="A17" s="197"/>
      <c r="B17" s="198" t="s">
        <v>136</v>
      </c>
      <c r="C17" s="199"/>
      <c r="D17" s="200"/>
      <c r="E17" s="200"/>
      <c r="G17" s="203"/>
      <c r="H17" s="203"/>
      <c r="I17" s="203"/>
      <c r="J17" s="203"/>
      <c r="K17" s="203"/>
      <c r="L17" s="203"/>
      <c r="M17" s="203"/>
      <c r="N17" s="203"/>
      <c r="O17" s="203"/>
      <c r="P17" s="203">
        <v>33536.267894736848</v>
      </c>
      <c r="Q17" s="203">
        <v>32000.000000000004</v>
      </c>
      <c r="R17" s="203">
        <v>27526.315789473683</v>
      </c>
      <c r="S17" s="203"/>
      <c r="T17" s="134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 t="e">
        <f>AG18/AG16</f>
        <v>#DIV/0!</v>
      </c>
      <c r="AH17" s="485"/>
      <c r="AJ17" s="172"/>
    </row>
    <row r="18" spans="1:36" s="205" customFormat="1" ht="12.75">
      <c r="A18" s="133" t="s">
        <v>181</v>
      </c>
      <c r="B18" s="204" t="s">
        <v>507</v>
      </c>
      <c r="C18" s="199"/>
      <c r="D18" s="200"/>
      <c r="E18" s="200"/>
      <c r="G18" s="202">
        <v>0</v>
      </c>
      <c r="H18" s="202">
        <v>28509.034000000003</v>
      </c>
      <c r="I18" s="202">
        <v>284729.66000000003</v>
      </c>
      <c r="J18" s="202">
        <v>54587.329999999994</v>
      </c>
      <c r="K18" s="202">
        <v>74561.225999999995</v>
      </c>
      <c r="L18" s="202">
        <v>213862.8</v>
      </c>
      <c r="M18" s="202">
        <v>59479.012000000002</v>
      </c>
      <c r="N18" s="202">
        <v>425448.35600000003</v>
      </c>
      <c r="O18" s="202">
        <v>432922.17799999996</v>
      </c>
      <c r="P18" s="202">
        <v>254875.63600000003</v>
      </c>
      <c r="Q18" s="202">
        <v>160000.00000000003</v>
      </c>
      <c r="R18" s="202">
        <v>110105.26315789475</v>
      </c>
      <c r="S18" s="458">
        <f t="shared" ref="S18" si="50">SUM(G18:R18)</f>
        <v>2099080.4951578947</v>
      </c>
      <c r="T18" s="134"/>
      <c r="U18" s="202">
        <f>$AH18*(G18/$S18)</f>
        <v>0</v>
      </c>
      <c r="V18" s="202">
        <f t="shared" ref="V18:AF18" si="51">$AH18*(H18/$S18)</f>
        <v>28521.522418079832</v>
      </c>
      <c r="W18" s="202">
        <f t="shared" si="51"/>
        <v>284854.38618447224</v>
      </c>
      <c r="X18" s="202">
        <f t="shared" si="51"/>
        <v>54611.242048331813</v>
      </c>
      <c r="Y18" s="202">
        <f t="shared" si="51"/>
        <v>74593.887638511937</v>
      </c>
      <c r="Z18" s="202">
        <f t="shared" si="51"/>
        <v>213956.48286761742</v>
      </c>
      <c r="AA18" s="202">
        <f t="shared" si="51"/>
        <v>59505.066855763653</v>
      </c>
      <c r="AB18" s="202">
        <f t="shared" si="51"/>
        <v>425634.72418564616</v>
      </c>
      <c r="AC18" s="202">
        <f t="shared" si="51"/>
        <v>433111.82010274159</v>
      </c>
      <c r="AD18" s="202">
        <f t="shared" si="51"/>
        <v>254987.28459183694</v>
      </c>
      <c r="AE18" s="202">
        <f t="shared" si="51"/>
        <v>160070.08820056033</v>
      </c>
      <c r="AF18" s="202">
        <f t="shared" si="51"/>
        <v>110153.49490643821</v>
      </c>
      <c r="AG18" s="202">
        <f>SUM(U18:AF18)</f>
        <v>2100000</v>
      </c>
      <c r="AH18" s="484">
        <v>2100000</v>
      </c>
      <c r="AJ18" s="172"/>
    </row>
    <row r="19" spans="1:36" s="201" customFormat="1" ht="24" customHeight="1" outlineLevel="1">
      <c r="A19" s="197"/>
      <c r="B19" s="198" t="s">
        <v>137</v>
      </c>
      <c r="C19" s="199"/>
      <c r="D19" s="200"/>
      <c r="E19" s="200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202"/>
      <c r="T19" s="134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202">
        <f>SUM(U19:AF19)</f>
        <v>0</v>
      </c>
      <c r="AH19" s="485"/>
      <c r="AJ19" s="172"/>
    </row>
    <row r="20" spans="1:36" s="201" customFormat="1" ht="12.75" outlineLevel="1">
      <c r="A20" s="197"/>
      <c r="B20" s="198" t="s">
        <v>136</v>
      </c>
      <c r="C20" s="199"/>
      <c r="D20" s="200"/>
      <c r="E20" s="200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134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 t="e">
        <f>AG21/AG19</f>
        <v>#DIV/0!</v>
      </c>
      <c r="AH20" s="485"/>
      <c r="AJ20" s="172"/>
    </row>
    <row r="21" spans="1:36" s="205" customFormat="1" ht="12.75">
      <c r="A21" s="133" t="s">
        <v>182</v>
      </c>
      <c r="B21" s="204" t="s">
        <v>508</v>
      </c>
      <c r="C21" s="199"/>
      <c r="D21" s="200"/>
      <c r="E21" s="200">
        <v>833000</v>
      </c>
      <c r="G21" s="202">
        <v>933000.0007995792</v>
      </c>
      <c r="H21" s="202">
        <v>932963.68115624588</v>
      </c>
      <c r="I21" s="202">
        <v>932883.10302030831</v>
      </c>
      <c r="J21" s="202">
        <v>933241.30460080993</v>
      </c>
      <c r="K21" s="202">
        <v>932899.93023713562</v>
      </c>
      <c r="L21" s="202">
        <v>932701.81663973071</v>
      </c>
      <c r="M21" s="202">
        <v>933563.3050606394</v>
      </c>
      <c r="N21" s="202">
        <v>933000.33692808752</v>
      </c>
      <c r="O21" s="202">
        <v>933000.04875796405</v>
      </c>
      <c r="P21" s="202">
        <v>932001.21191716148</v>
      </c>
      <c r="Q21" s="202">
        <v>933163.53950761422</v>
      </c>
      <c r="R21" s="202">
        <v>933543.62828639371</v>
      </c>
      <c r="S21" s="458">
        <f t="shared" ref="S21" si="52">SUM(G21:R21)</f>
        <v>11195961.906911669</v>
      </c>
      <c r="T21" s="134"/>
      <c r="U21" s="202">
        <f>$AH21*(G18/$S18)</f>
        <v>0</v>
      </c>
      <c r="V21" s="202">
        <f t="shared" ref="V21:AF21" si="53">$AH21*(H18/$S18)</f>
        <v>152114.78622975911</v>
      </c>
      <c r="W21" s="202">
        <f t="shared" si="53"/>
        <v>1519223.392983852</v>
      </c>
      <c r="X21" s="202">
        <f t="shared" si="53"/>
        <v>291259.95759110304</v>
      </c>
      <c r="Y21" s="202">
        <f t="shared" si="53"/>
        <v>397834.06740539701</v>
      </c>
      <c r="Z21" s="202">
        <f t="shared" si="53"/>
        <v>1141101.2419606261</v>
      </c>
      <c r="AA21" s="202">
        <f t="shared" si="53"/>
        <v>317360.35656407283</v>
      </c>
      <c r="AB21" s="202">
        <f t="shared" si="53"/>
        <v>2270051.8623234462</v>
      </c>
      <c r="AC21" s="202">
        <f t="shared" si="53"/>
        <v>2309929.7072146218</v>
      </c>
      <c r="AD21" s="202">
        <f t="shared" si="53"/>
        <v>1359932.1844897969</v>
      </c>
      <c r="AE21" s="202">
        <f t="shared" si="53"/>
        <v>853707.13706965512</v>
      </c>
      <c r="AF21" s="202">
        <f t="shared" si="53"/>
        <v>587485.30616767053</v>
      </c>
      <c r="AG21" s="202">
        <f>SUM(U21:AF21)</f>
        <v>11200000.000000004</v>
      </c>
      <c r="AH21" s="484">
        <v>11200000</v>
      </c>
      <c r="AJ21" s="172"/>
    </row>
    <row r="22" spans="1:36" s="201" customFormat="1" ht="24" customHeight="1" outlineLevel="1">
      <c r="A22" s="197"/>
      <c r="B22" s="198" t="s">
        <v>137</v>
      </c>
      <c r="C22" s="199"/>
      <c r="D22" s="200"/>
      <c r="E22" s="200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202"/>
      <c r="T22" s="134"/>
      <c r="U22" s="199">
        <v>0</v>
      </c>
      <c r="V22" s="199">
        <v>1</v>
      </c>
      <c r="W22" s="199">
        <v>5</v>
      </c>
      <c r="X22" s="199">
        <v>7</v>
      </c>
      <c r="Y22" s="199">
        <v>10</v>
      </c>
      <c r="Z22" s="199">
        <v>20</v>
      </c>
      <c r="AA22" s="199">
        <v>10</v>
      </c>
      <c r="AB22" s="199">
        <v>28</v>
      </c>
      <c r="AC22" s="199">
        <v>33</v>
      </c>
      <c r="AD22" s="199">
        <v>38</v>
      </c>
      <c r="AE22" s="199">
        <v>10</v>
      </c>
      <c r="AF22" s="199">
        <v>5</v>
      </c>
      <c r="AG22" s="202">
        <f>SUM(U22:AF22)</f>
        <v>167</v>
      </c>
      <c r="AH22" s="485"/>
      <c r="AJ22" s="172"/>
    </row>
    <row r="23" spans="1:36" s="201" customFormat="1" ht="12.75" outlineLevel="1">
      <c r="A23" s="197"/>
      <c r="B23" s="198" t="s">
        <v>136</v>
      </c>
      <c r="C23" s="199"/>
      <c r="D23" s="200"/>
      <c r="E23" s="200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134"/>
      <c r="U23" s="203">
        <v>3000</v>
      </c>
      <c r="V23" s="203">
        <v>2000</v>
      </c>
      <c r="W23" s="203">
        <v>3000</v>
      </c>
      <c r="X23" s="203">
        <v>3000</v>
      </c>
      <c r="Y23" s="203">
        <v>3000</v>
      </c>
      <c r="Z23" s="203">
        <v>3000</v>
      </c>
      <c r="AA23" s="203">
        <v>3000</v>
      </c>
      <c r="AB23" s="203">
        <v>3000</v>
      </c>
      <c r="AC23" s="203">
        <v>3000</v>
      </c>
      <c r="AD23" s="203">
        <v>3000</v>
      </c>
      <c r="AE23" s="203">
        <v>3000</v>
      </c>
      <c r="AF23" s="203">
        <v>3000</v>
      </c>
      <c r="AG23" s="203">
        <f>AG24/AG22</f>
        <v>2994.0119760479042</v>
      </c>
      <c r="AH23" s="485"/>
      <c r="AJ23" s="172"/>
    </row>
    <row r="24" spans="1:36" s="205" customFormat="1" ht="12.75">
      <c r="A24" s="133" t="s">
        <v>183</v>
      </c>
      <c r="B24" s="204" t="s">
        <v>509</v>
      </c>
      <c r="C24" s="199"/>
      <c r="D24" s="200"/>
      <c r="E24" s="200"/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458">
        <f t="shared" ref="S24" si="54">SUM(G24:R24)</f>
        <v>0</v>
      </c>
      <c r="T24" s="134"/>
      <c r="U24" s="202">
        <f t="shared" ref="U24:AF24" si="55">U22*U23</f>
        <v>0</v>
      </c>
      <c r="V24" s="202">
        <f t="shared" si="55"/>
        <v>2000</v>
      </c>
      <c r="W24" s="202">
        <f t="shared" si="55"/>
        <v>15000</v>
      </c>
      <c r="X24" s="202">
        <f t="shared" si="55"/>
        <v>21000</v>
      </c>
      <c r="Y24" s="202">
        <f t="shared" si="55"/>
        <v>30000</v>
      </c>
      <c r="Z24" s="202">
        <f t="shared" si="55"/>
        <v>60000</v>
      </c>
      <c r="AA24" s="202">
        <f t="shared" si="55"/>
        <v>30000</v>
      </c>
      <c r="AB24" s="202">
        <f t="shared" si="55"/>
        <v>84000</v>
      </c>
      <c r="AC24" s="202">
        <f t="shared" si="55"/>
        <v>99000</v>
      </c>
      <c r="AD24" s="202">
        <f t="shared" si="55"/>
        <v>114000</v>
      </c>
      <c r="AE24" s="202">
        <f t="shared" si="55"/>
        <v>30000</v>
      </c>
      <c r="AF24" s="202">
        <f t="shared" si="55"/>
        <v>15000</v>
      </c>
      <c r="AG24" s="202">
        <f>SUM(U24:AF24)</f>
        <v>500000</v>
      </c>
      <c r="AH24" s="484">
        <v>500000</v>
      </c>
      <c r="AJ24" s="172"/>
    </row>
    <row r="25" spans="1:36" s="201" customFormat="1" ht="24" customHeight="1" outlineLevel="1">
      <c r="A25" s="197"/>
      <c r="B25" s="198" t="s">
        <v>137</v>
      </c>
      <c r="C25" s="199"/>
      <c r="D25" s="200"/>
      <c r="E25" s="200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>
        <v>0</v>
      </c>
      <c r="R25" s="199">
        <v>0</v>
      </c>
      <c r="S25" s="202"/>
      <c r="T25" s="134"/>
      <c r="U25" s="199">
        <v>0</v>
      </c>
      <c r="V25" s="199">
        <v>2</v>
      </c>
      <c r="W25" s="199">
        <v>3</v>
      </c>
      <c r="X25" s="199">
        <v>2</v>
      </c>
      <c r="Y25" s="199">
        <v>2</v>
      </c>
      <c r="Z25" s="199">
        <v>2</v>
      </c>
      <c r="AA25" s="199">
        <v>1</v>
      </c>
      <c r="AB25" s="199">
        <v>1</v>
      </c>
      <c r="AC25" s="199">
        <v>2</v>
      </c>
      <c r="AD25" s="199">
        <v>3</v>
      </c>
      <c r="AE25" s="199">
        <v>3</v>
      </c>
      <c r="AF25" s="199">
        <v>1</v>
      </c>
      <c r="AG25" s="199">
        <f>SUM(U25:AF25)</f>
        <v>22</v>
      </c>
      <c r="AH25" s="485"/>
      <c r="AJ25" s="172"/>
    </row>
    <row r="26" spans="1:36" s="201" customFormat="1" ht="12.75" outlineLevel="1">
      <c r="A26" s="197"/>
      <c r="B26" s="198" t="s">
        <v>136</v>
      </c>
      <c r="C26" s="199"/>
      <c r="D26" s="200"/>
      <c r="E26" s="200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134"/>
      <c r="U26" s="203">
        <v>4545.454545454546</v>
      </c>
      <c r="V26" s="203">
        <v>4545.454545454546</v>
      </c>
      <c r="W26" s="203">
        <v>4545.454545454546</v>
      </c>
      <c r="X26" s="203">
        <v>4545.454545454546</v>
      </c>
      <c r="Y26" s="203">
        <v>4545.454545454546</v>
      </c>
      <c r="Z26" s="203">
        <v>4545.454545454546</v>
      </c>
      <c r="AA26" s="203">
        <v>4545.454545454546</v>
      </c>
      <c r="AB26" s="203">
        <v>4545.454545454546</v>
      </c>
      <c r="AC26" s="203">
        <v>4545.454545454546</v>
      </c>
      <c r="AD26" s="203">
        <v>4545.454545454546</v>
      </c>
      <c r="AE26" s="203">
        <v>4545.454545454546</v>
      </c>
      <c r="AF26" s="203">
        <v>4545.454545454546</v>
      </c>
      <c r="AG26" s="203">
        <f>AG27/AG25</f>
        <v>4545.454545454545</v>
      </c>
      <c r="AH26" s="485"/>
      <c r="AJ26" s="172"/>
    </row>
    <row r="27" spans="1:36" s="205" customFormat="1" ht="12.75">
      <c r="A27" s="133" t="s">
        <v>184</v>
      </c>
      <c r="B27" s="204" t="s">
        <v>166</v>
      </c>
      <c r="C27" s="199"/>
      <c r="D27" s="200"/>
      <c r="E27" s="200"/>
      <c r="G27" s="202">
        <v>0</v>
      </c>
      <c r="H27" s="202">
        <v>0</v>
      </c>
      <c r="I27" s="202">
        <v>2850</v>
      </c>
      <c r="J27" s="202">
        <v>12191.216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458">
        <f t="shared" ref="S27" si="56">SUM(G27:R27)</f>
        <v>15041.216</v>
      </c>
      <c r="T27" s="134"/>
      <c r="U27" s="202">
        <f t="shared" ref="U27:AF27" si="57">U25*U26</f>
        <v>0</v>
      </c>
      <c r="V27" s="202">
        <f t="shared" si="57"/>
        <v>9090.9090909090919</v>
      </c>
      <c r="W27" s="202">
        <f t="shared" si="57"/>
        <v>13636.363636363638</v>
      </c>
      <c r="X27" s="202">
        <f t="shared" si="57"/>
        <v>9090.9090909090919</v>
      </c>
      <c r="Y27" s="202">
        <f t="shared" si="57"/>
        <v>9090.9090909090919</v>
      </c>
      <c r="Z27" s="202">
        <f t="shared" si="57"/>
        <v>9090.9090909090919</v>
      </c>
      <c r="AA27" s="202">
        <f t="shared" si="57"/>
        <v>4545.454545454546</v>
      </c>
      <c r="AB27" s="202">
        <f t="shared" si="57"/>
        <v>4545.454545454546</v>
      </c>
      <c r="AC27" s="202">
        <f t="shared" si="57"/>
        <v>9090.9090909090919</v>
      </c>
      <c r="AD27" s="202">
        <f t="shared" si="57"/>
        <v>13636.363636363638</v>
      </c>
      <c r="AE27" s="202">
        <f t="shared" si="57"/>
        <v>13636.363636363638</v>
      </c>
      <c r="AF27" s="202">
        <f t="shared" si="57"/>
        <v>4545.454545454546</v>
      </c>
      <c r="AG27" s="202">
        <f>SUM(U27:AF27)</f>
        <v>99999.999999999985</v>
      </c>
      <c r="AH27" s="484">
        <v>100000</v>
      </c>
      <c r="AJ27" s="172"/>
    </row>
    <row r="28" spans="1:36" s="201" customFormat="1" ht="24" customHeight="1" outlineLevel="1">
      <c r="A28" s="197"/>
      <c r="B28" s="198" t="s">
        <v>137</v>
      </c>
      <c r="C28" s="199"/>
      <c r="D28" s="200"/>
      <c r="E28" s="200"/>
      <c r="G28" s="199"/>
      <c r="H28" s="199"/>
      <c r="I28" s="199"/>
      <c r="J28" s="199"/>
      <c r="K28" s="199"/>
      <c r="L28" s="199"/>
      <c r="M28" s="199"/>
      <c r="N28" s="199"/>
      <c r="O28" s="199"/>
      <c r="P28" s="199">
        <v>0</v>
      </c>
      <c r="Q28" s="199">
        <v>0</v>
      </c>
      <c r="R28" s="199">
        <v>0</v>
      </c>
      <c r="S28" s="202"/>
      <c r="T28" s="134"/>
      <c r="U28" s="199">
        <v>0</v>
      </c>
      <c r="V28" s="199">
        <v>0</v>
      </c>
      <c r="W28" s="199">
        <v>0</v>
      </c>
      <c r="X28" s="199">
        <v>2</v>
      </c>
      <c r="Y28" s="199">
        <v>2</v>
      </c>
      <c r="Z28" s="199">
        <v>2</v>
      </c>
      <c r="AA28" s="199">
        <v>1</v>
      </c>
      <c r="AB28" s="199">
        <v>1</v>
      </c>
      <c r="AC28" s="199">
        <v>2</v>
      </c>
      <c r="AD28" s="199">
        <v>2</v>
      </c>
      <c r="AE28" s="199">
        <v>2</v>
      </c>
      <c r="AF28" s="199">
        <v>1</v>
      </c>
      <c r="AG28" s="199">
        <f>SUM(U28:AF28)</f>
        <v>15</v>
      </c>
      <c r="AH28" s="485"/>
      <c r="AJ28" s="172"/>
    </row>
    <row r="29" spans="1:36" s="201" customFormat="1" ht="12.75" outlineLevel="1">
      <c r="A29" s="197"/>
      <c r="B29" s="198" t="s">
        <v>136</v>
      </c>
      <c r="C29" s="199"/>
      <c r="D29" s="200"/>
      <c r="E29" s="200"/>
      <c r="G29" s="203"/>
      <c r="H29" s="203"/>
      <c r="I29" s="203"/>
      <c r="J29" s="203"/>
      <c r="K29" s="203"/>
      <c r="L29" s="203"/>
      <c r="M29" s="203"/>
      <c r="N29" s="203"/>
      <c r="O29" s="203"/>
      <c r="P29" s="203">
        <v>0</v>
      </c>
      <c r="Q29" s="203">
        <v>0</v>
      </c>
      <c r="R29" s="203">
        <v>0</v>
      </c>
      <c r="S29" s="203"/>
      <c r="T29" s="134"/>
      <c r="U29" s="203">
        <v>6666.666666666667</v>
      </c>
      <c r="V29" s="203">
        <v>6666.666666666667</v>
      </c>
      <c r="W29" s="203">
        <v>6666.666666666667</v>
      </c>
      <c r="X29" s="203">
        <v>6666.666666666667</v>
      </c>
      <c r="Y29" s="203">
        <v>6666.666666666667</v>
      </c>
      <c r="Z29" s="203">
        <v>6666.666666666667</v>
      </c>
      <c r="AA29" s="203">
        <v>6666.666666666667</v>
      </c>
      <c r="AB29" s="203">
        <v>6666.666666666667</v>
      </c>
      <c r="AC29" s="203">
        <v>6666.666666666667</v>
      </c>
      <c r="AD29" s="203">
        <v>6666.666666666667</v>
      </c>
      <c r="AE29" s="203">
        <v>6666.666666666667</v>
      </c>
      <c r="AF29" s="203">
        <v>6666.666666666667</v>
      </c>
      <c r="AG29" s="203">
        <f>AG30/AG28</f>
        <v>6666.6666666666661</v>
      </c>
      <c r="AH29" s="485"/>
      <c r="AJ29" s="172"/>
    </row>
    <row r="30" spans="1:36" s="205" customFormat="1" ht="12.75">
      <c r="A30" s="133" t="s">
        <v>185</v>
      </c>
      <c r="B30" s="204" t="s">
        <v>167</v>
      </c>
      <c r="C30" s="199"/>
      <c r="D30" s="200"/>
      <c r="E30" s="200"/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458">
        <f t="shared" ref="S30" si="58">SUM(G30:R30)</f>
        <v>0</v>
      </c>
      <c r="T30" s="134"/>
      <c r="U30" s="202">
        <f t="shared" ref="U30:AF30" si="59">U28*U29</f>
        <v>0</v>
      </c>
      <c r="V30" s="202">
        <f t="shared" si="59"/>
        <v>0</v>
      </c>
      <c r="W30" s="202">
        <f t="shared" si="59"/>
        <v>0</v>
      </c>
      <c r="X30" s="202">
        <f t="shared" si="59"/>
        <v>13333.333333333334</v>
      </c>
      <c r="Y30" s="202">
        <f t="shared" si="59"/>
        <v>13333.333333333334</v>
      </c>
      <c r="Z30" s="202">
        <f t="shared" si="59"/>
        <v>13333.333333333334</v>
      </c>
      <c r="AA30" s="202">
        <f t="shared" si="59"/>
        <v>6666.666666666667</v>
      </c>
      <c r="AB30" s="202">
        <f t="shared" si="59"/>
        <v>6666.666666666667</v>
      </c>
      <c r="AC30" s="202">
        <f t="shared" si="59"/>
        <v>13333.333333333334</v>
      </c>
      <c r="AD30" s="202">
        <f t="shared" si="59"/>
        <v>13333.333333333334</v>
      </c>
      <c r="AE30" s="202">
        <f t="shared" si="59"/>
        <v>13333.333333333334</v>
      </c>
      <c r="AF30" s="202">
        <f t="shared" si="59"/>
        <v>6666.666666666667</v>
      </c>
      <c r="AG30" s="202">
        <f>SUM(U30:AF30)</f>
        <v>99999.999999999985</v>
      </c>
      <c r="AH30" s="484">
        <v>100000</v>
      </c>
      <c r="AJ30" s="172"/>
    </row>
    <row r="31" spans="1:36" s="201" customFormat="1" ht="24" customHeight="1" outlineLevel="1">
      <c r="A31" s="197"/>
      <c r="B31" s="198" t="s">
        <v>137</v>
      </c>
      <c r="C31" s="199"/>
      <c r="D31" s="200"/>
      <c r="E31" s="200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>
        <v>1</v>
      </c>
      <c r="R31" s="199">
        <v>1</v>
      </c>
      <c r="S31" s="202"/>
      <c r="T31" s="134"/>
      <c r="U31" s="199">
        <v>1</v>
      </c>
      <c r="V31" s="199">
        <v>1</v>
      </c>
      <c r="W31" s="199">
        <v>1</v>
      </c>
      <c r="X31" s="199">
        <v>1</v>
      </c>
      <c r="Y31" s="199">
        <v>1</v>
      </c>
      <c r="Z31" s="199">
        <v>1</v>
      </c>
      <c r="AA31" s="199">
        <v>1</v>
      </c>
      <c r="AB31" s="199">
        <v>1</v>
      </c>
      <c r="AC31" s="199">
        <v>1</v>
      </c>
      <c r="AD31" s="199">
        <v>1</v>
      </c>
      <c r="AE31" s="199">
        <v>1</v>
      </c>
      <c r="AF31" s="199">
        <v>1</v>
      </c>
      <c r="AG31" s="199">
        <f>SUM(U31:AF31)</f>
        <v>12</v>
      </c>
      <c r="AH31" s="485"/>
      <c r="AJ31" s="172"/>
    </row>
    <row r="32" spans="1:36" s="201" customFormat="1" ht="12.75" outlineLevel="1">
      <c r="A32" s="197"/>
      <c r="B32" s="198" t="s">
        <v>136</v>
      </c>
      <c r="C32" s="199"/>
      <c r="D32" s="200"/>
      <c r="E32" s="200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>
        <v>3500</v>
      </c>
      <c r="R32" s="203">
        <v>3500</v>
      </c>
      <c r="S32" s="203"/>
      <c r="T32" s="134"/>
      <c r="U32" s="203">
        <v>3500</v>
      </c>
      <c r="V32" s="203">
        <v>3500</v>
      </c>
      <c r="W32" s="203">
        <v>3500</v>
      </c>
      <c r="X32" s="203">
        <v>3500</v>
      </c>
      <c r="Y32" s="203">
        <v>3500</v>
      </c>
      <c r="Z32" s="203">
        <v>3500</v>
      </c>
      <c r="AA32" s="203">
        <v>3500</v>
      </c>
      <c r="AB32" s="203">
        <v>3500</v>
      </c>
      <c r="AC32" s="203">
        <v>3500</v>
      </c>
      <c r="AD32" s="203">
        <v>3500</v>
      </c>
      <c r="AE32" s="203">
        <v>3500</v>
      </c>
      <c r="AF32" s="203">
        <v>3500</v>
      </c>
      <c r="AG32" s="203">
        <f>AG33/AG31</f>
        <v>3500</v>
      </c>
      <c r="AH32" s="485"/>
      <c r="AJ32" s="172"/>
    </row>
    <row r="33" spans="1:36" s="205" customFormat="1" ht="12.75">
      <c r="A33" s="133" t="s">
        <v>186</v>
      </c>
      <c r="B33" s="204" t="s">
        <v>168</v>
      </c>
      <c r="C33" s="199"/>
      <c r="D33" s="200"/>
      <c r="E33" s="200"/>
      <c r="G33" s="202">
        <v>0</v>
      </c>
      <c r="H33" s="202">
        <v>0</v>
      </c>
      <c r="I33" s="202">
        <v>60</v>
      </c>
      <c r="J33" s="202">
        <v>1500</v>
      </c>
      <c r="K33" s="202">
        <v>0</v>
      </c>
      <c r="L33" s="202">
        <v>0</v>
      </c>
      <c r="M33" s="202">
        <v>690</v>
      </c>
      <c r="N33" s="202">
        <v>700</v>
      </c>
      <c r="O33" s="202">
        <v>1544</v>
      </c>
      <c r="P33" s="202">
        <v>2380</v>
      </c>
      <c r="Q33" s="202">
        <v>700</v>
      </c>
      <c r="R33" s="202">
        <v>700</v>
      </c>
      <c r="S33" s="458">
        <f t="shared" ref="S33" si="60">SUM(G33:R33)</f>
        <v>8274</v>
      </c>
      <c r="T33" s="134"/>
      <c r="U33" s="202">
        <f t="shared" ref="U33:AF33" si="61">U31*U32</f>
        <v>3500</v>
      </c>
      <c r="V33" s="202">
        <f t="shared" si="61"/>
        <v>3500</v>
      </c>
      <c r="W33" s="202">
        <f t="shared" si="61"/>
        <v>3500</v>
      </c>
      <c r="X33" s="202">
        <f t="shared" si="61"/>
        <v>3500</v>
      </c>
      <c r="Y33" s="202">
        <f t="shared" si="61"/>
        <v>3500</v>
      </c>
      <c r="Z33" s="202">
        <f t="shared" si="61"/>
        <v>3500</v>
      </c>
      <c r="AA33" s="202">
        <f t="shared" si="61"/>
        <v>3500</v>
      </c>
      <c r="AB33" s="202">
        <f t="shared" si="61"/>
        <v>3500</v>
      </c>
      <c r="AC33" s="202">
        <f t="shared" si="61"/>
        <v>3500</v>
      </c>
      <c r="AD33" s="202">
        <f t="shared" si="61"/>
        <v>3500</v>
      </c>
      <c r="AE33" s="202">
        <f t="shared" si="61"/>
        <v>3500</v>
      </c>
      <c r="AF33" s="202">
        <f t="shared" si="61"/>
        <v>3500</v>
      </c>
      <c r="AG33" s="202">
        <f>SUM(U33:AF33)</f>
        <v>42000</v>
      </c>
      <c r="AH33" s="484">
        <v>42000</v>
      </c>
      <c r="AJ33" s="172"/>
    </row>
    <row r="34" spans="1:36" s="201" customFormat="1" ht="12.75" outlineLevel="1">
      <c r="A34" s="197"/>
      <c r="B34" s="198" t="s">
        <v>187</v>
      </c>
      <c r="C34" s="199"/>
      <c r="D34" s="200"/>
      <c r="E34" s="200"/>
      <c r="G34" s="207">
        <v>1.3667924115685307E-3</v>
      </c>
      <c r="H34" s="207">
        <v>4.9487119244366806E-3</v>
      </c>
      <c r="I34" s="207">
        <v>6.2566976978232752E-3</v>
      </c>
      <c r="J34" s="207">
        <v>3.1107729902129749E-3</v>
      </c>
      <c r="K34" s="207">
        <v>4.1878437625420062E-3</v>
      </c>
      <c r="L34" s="207">
        <v>5.5163870094438877E-3</v>
      </c>
      <c r="M34" s="207">
        <v>7.2248254356635042E-3</v>
      </c>
      <c r="N34" s="207">
        <v>6.5138421201009393E-3</v>
      </c>
      <c r="O34" s="207">
        <v>5.6701484867081077E-3</v>
      </c>
      <c r="P34" s="207">
        <v>5.0870359703198142E-3</v>
      </c>
      <c r="Q34" s="207">
        <v>5.0870359703198142E-3</v>
      </c>
      <c r="R34" s="207">
        <v>5.0870359703198142E-3</v>
      </c>
      <c r="S34" s="202"/>
      <c r="T34" s="134"/>
      <c r="U34" s="207">
        <v>5.0870359703198142E-3</v>
      </c>
      <c r="V34" s="207">
        <v>5.0870359703198142E-3</v>
      </c>
      <c r="W34" s="207">
        <v>5.0870359703198142E-3</v>
      </c>
      <c r="X34" s="207">
        <v>5.0870359703198142E-3</v>
      </c>
      <c r="Y34" s="207">
        <v>5.0870359703198142E-3</v>
      </c>
      <c r="Z34" s="207">
        <v>5.0870359703198142E-3</v>
      </c>
      <c r="AA34" s="207">
        <v>5.0870359703198142E-3</v>
      </c>
      <c r="AB34" s="207">
        <v>5.0870359703198142E-3</v>
      </c>
      <c r="AC34" s="207">
        <v>5.0870359703198142E-3</v>
      </c>
      <c r="AD34" s="207">
        <v>5.0870359703198142E-3</v>
      </c>
      <c r="AE34" s="207">
        <v>5.0870359703198142E-3</v>
      </c>
      <c r="AF34" s="207">
        <v>5.0870359703198142E-3</v>
      </c>
      <c r="AG34" s="207">
        <f t="shared" ref="AG34" si="62">AG36/AG35</f>
        <v>5.0870359703198142E-3</v>
      </c>
      <c r="AH34" s="485"/>
      <c r="AJ34" s="172"/>
    </row>
    <row r="35" spans="1:36" s="201" customFormat="1" ht="12.75" outlineLevel="1">
      <c r="A35" s="197"/>
      <c r="B35" s="198" t="s">
        <v>188</v>
      </c>
      <c r="C35" s="199"/>
      <c r="D35" s="200"/>
      <c r="E35" s="200"/>
      <c r="G35" s="203">
        <f>'PLAN 2018'!G5+'PLAN 2018'!G7+'PLAN 2018'!G8</f>
        <v>203282.43583265002</v>
      </c>
      <c r="H35" s="203">
        <f>'PLAN 2018'!H5+'PLAN 2018'!H7+'PLAN 2018'!H8</f>
        <v>329023.57831666671</v>
      </c>
      <c r="I35" s="203">
        <f>'PLAN 2018'!I5+'PLAN 2018'!I7+'PLAN 2018'!I8</f>
        <v>855426.65082102502</v>
      </c>
      <c r="J35" s="203">
        <f>'PLAN 2018'!J5+'PLAN 2018'!J7+'PLAN 2018'!J8</f>
        <v>1648240.9760623248</v>
      </c>
      <c r="K35" s="203">
        <f>'PLAN 2018'!K5+'PLAN 2018'!K7+'PLAN 2018'!K8</f>
        <v>1183477.5191962982</v>
      </c>
      <c r="L35" s="203">
        <f>'PLAN 2018'!L5+'PLAN 2018'!L7+'PLAN 2018'!L8</f>
        <v>1153390.3790953723</v>
      </c>
      <c r="M35" s="203">
        <f>'PLAN 2018'!M5+'PLAN 2018'!M7+'PLAN 2018'!M8</f>
        <v>898865.9796408643</v>
      </c>
      <c r="N35" s="203">
        <f>'PLAN 2018'!N5+'PLAN 2018'!N7+'PLAN 2018'!N8</f>
        <v>1255501.0141768048</v>
      </c>
      <c r="O35" s="203">
        <f>'PLAN 2018'!O5+'PLAN 2018'!O7+'PLAN 2018'!O8</f>
        <v>795617.25182283379</v>
      </c>
      <c r="P35" s="203">
        <f>'PLAN 2018'!P5+'PLAN 2018'!P7+'PLAN 2018'!P8</f>
        <v>867508.5</v>
      </c>
      <c r="Q35" s="203">
        <f>'PLAN 2018'!Q5+'PLAN 2018'!Q7+'PLAN 2018'!Q8</f>
        <v>487392.98833333346</v>
      </c>
      <c r="R35" s="203">
        <f>'PLAN 2018'!R5+'PLAN 2018'!R7+'PLAN 2018'!R8</f>
        <v>354572.13166666729</v>
      </c>
      <c r="S35" s="203"/>
      <c r="T35" s="134"/>
      <c r="U35" s="203">
        <f>'PLAN 2018'!U5+'PLAN 2018'!U7+'PLAN 2018'!U8</f>
        <v>109947.74249931666</v>
      </c>
      <c r="V35" s="203">
        <f>'PLAN 2018'!V5+'PLAN 2018'!V7+'PLAN 2018'!V8</f>
        <v>119934.28498333332</v>
      </c>
      <c r="W35" s="203">
        <f>'PLAN 2018'!W5+'PLAN 2018'!W7+'PLAN 2018'!W8</f>
        <v>1402537.9524876918</v>
      </c>
      <c r="X35" s="203">
        <f>'PLAN 2018'!X5+'PLAN 2018'!X7+'PLAN 2018'!X8</f>
        <v>537910.38939565839</v>
      </c>
      <c r="Y35" s="203">
        <f>'PLAN 2018'!Y5+'PLAN 2018'!Y7+'PLAN 2018'!Y8</f>
        <v>878413.13919629809</v>
      </c>
      <c r="Z35" s="203">
        <f>'PLAN 2018'!Z5+'PLAN 2018'!Z7+'PLAN 2018'!Z8</f>
        <v>3870912.0024287058</v>
      </c>
      <c r="AA35" s="203">
        <f>'PLAN 2018'!AA5+'PLAN 2018'!AA7+'PLAN 2018'!AA8</f>
        <v>572750.63130753161</v>
      </c>
      <c r="AB35" s="203">
        <f>'PLAN 2018'!AB5+'PLAN 2018'!AB7+'PLAN 2018'!AB8</f>
        <v>641087.03917680448</v>
      </c>
      <c r="AC35" s="203">
        <f>'PLAN 2018'!AC5+'PLAN 2018'!AC7+'PLAN 2018'!AC8</f>
        <v>492714.12348949991</v>
      </c>
      <c r="AD35" s="203">
        <f>'PLAN 2018'!AD5+'PLAN 2018'!AD7+'PLAN 2018'!AD8</f>
        <v>940235.01333333307</v>
      </c>
      <c r="AE35" s="203">
        <f>'PLAN 2018'!AE5+'PLAN 2018'!AE7+'PLAN 2018'!AE8</f>
        <v>716846.55499999993</v>
      </c>
      <c r="AF35" s="203">
        <f>'PLAN 2018'!AF5+'PLAN 2018'!AF7+'PLAN 2018'!AF8</f>
        <v>122267.56666666718</v>
      </c>
      <c r="AG35" s="203">
        <f t="shared" ref="AG35:AG36" si="63">SUM(U35:AF35)</f>
        <v>10405556.43996484</v>
      </c>
      <c r="AH35" s="485"/>
      <c r="AJ35" s="172"/>
    </row>
    <row r="36" spans="1:36" s="205" customFormat="1" ht="12.75">
      <c r="A36" s="133" t="s">
        <v>189</v>
      </c>
      <c r="B36" s="204" t="s">
        <v>190</v>
      </c>
      <c r="C36" s="199"/>
      <c r="D36" s="200"/>
      <c r="E36" s="200"/>
      <c r="G36" s="202">
        <f>G34*G35</f>
        <v>277.84489070123283</v>
      </c>
      <c r="H36" s="202">
        <f t="shared" ref="H36:R36" si="64">H34*H35</f>
        <v>1628.2429054365145</v>
      </c>
      <c r="I36" s="202">
        <f t="shared" si="64"/>
        <v>5352.1459568485816</v>
      </c>
      <c r="J36" s="202">
        <f t="shared" si="64"/>
        <v>5127.3035096969506</v>
      </c>
      <c r="K36" s="202">
        <f t="shared" si="64"/>
        <v>4956.2189468749048</v>
      </c>
      <c r="L36" s="202">
        <f t="shared" si="64"/>
        <v>6362.5477040592723</v>
      </c>
      <c r="M36" s="202">
        <f t="shared" si="64"/>
        <v>6494.14979296191</v>
      </c>
      <c r="N36" s="202">
        <f t="shared" si="64"/>
        <v>8178.1353879743174</v>
      </c>
      <c r="O36" s="202">
        <f t="shared" si="64"/>
        <v>4511.2679564221044</v>
      </c>
      <c r="P36" s="202">
        <f t="shared" si="64"/>
        <v>4413.0469440581865</v>
      </c>
      <c r="Q36" s="202">
        <f t="shared" si="64"/>
        <v>2479.385663333333</v>
      </c>
      <c r="R36" s="202">
        <f t="shared" si="64"/>
        <v>1803.7211878613098</v>
      </c>
      <c r="S36" s="458">
        <f t="shared" ref="S36" si="65">SUM(G36:R36)</f>
        <v>51584.010846228615</v>
      </c>
      <c r="T36" s="134"/>
      <c r="U36" s="202">
        <f t="shared" ref="U36:AF36" si="66">U34*U35</f>
        <v>559.30812094948442</v>
      </c>
      <c r="V36" s="202">
        <f t="shared" si="66"/>
        <v>610.11002178480408</v>
      </c>
      <c r="W36" s="202">
        <f t="shared" si="66"/>
        <v>7134.7610140435909</v>
      </c>
      <c r="X36" s="202">
        <f t="shared" si="66"/>
        <v>2736.3694996644522</v>
      </c>
      <c r="Y36" s="202">
        <f t="shared" si="66"/>
        <v>4468.5192358931145</v>
      </c>
      <c r="Z36" s="202">
        <f t="shared" si="66"/>
        <v>19691.468594297527</v>
      </c>
      <c r="AA36" s="202">
        <f t="shared" si="66"/>
        <v>2913.6030634847953</v>
      </c>
      <c r="AB36" s="202">
        <f t="shared" si="66"/>
        <v>3261.2328283982324</v>
      </c>
      <c r="AC36" s="202">
        <f t="shared" si="66"/>
        <v>2506.4544692756849</v>
      </c>
      <c r="AD36" s="202">
        <f t="shared" si="66"/>
        <v>4783.0093333807954</v>
      </c>
      <c r="AE36" s="202">
        <f t="shared" si="66"/>
        <v>3646.6242104848407</v>
      </c>
      <c r="AF36" s="202">
        <f t="shared" si="66"/>
        <v>621.97950963681183</v>
      </c>
      <c r="AG36" s="202">
        <f t="shared" si="63"/>
        <v>52933.439901294136</v>
      </c>
      <c r="AH36" s="484"/>
      <c r="AJ36" s="172"/>
    </row>
    <row r="37" spans="1:36" s="132" customFormat="1" ht="12.75">
      <c r="C37" s="199"/>
      <c r="D37" s="200"/>
      <c r="E37" s="200"/>
      <c r="F37" s="181"/>
      <c r="T37" s="134"/>
      <c r="AJ37" s="172"/>
    </row>
    <row r="38" spans="1:36">
      <c r="C38" s="199"/>
      <c r="D38" s="200"/>
      <c r="E38" s="200"/>
      <c r="T38" s="134"/>
    </row>
    <row r="39" spans="1:36" s="134" customFormat="1" ht="12.75">
      <c r="C39" s="199"/>
      <c r="D39" s="200"/>
      <c r="E39" s="200"/>
      <c r="F39" s="181"/>
      <c r="G39" s="486">
        <f t="shared" ref="G39:R39" si="67">SUM(G36,G33,G30,G27,G24,G21,G18,G15)</f>
        <v>933566.84569028043</v>
      </c>
      <c r="H39" s="486">
        <f t="shared" si="67"/>
        <v>966635.09406168247</v>
      </c>
      <c r="I39" s="486">
        <f t="shared" si="67"/>
        <v>1307237.0209771569</v>
      </c>
      <c r="J39" s="486">
        <f t="shared" si="67"/>
        <v>1028073.6141105068</v>
      </c>
      <c r="K39" s="486">
        <f t="shared" si="67"/>
        <v>1024656.0991840106</v>
      </c>
      <c r="L39" s="486">
        <f t="shared" si="67"/>
        <v>1193132.3803437899</v>
      </c>
      <c r="M39" s="486">
        <f t="shared" si="67"/>
        <v>1000390.4668536013</v>
      </c>
      <c r="N39" s="486">
        <f t="shared" si="67"/>
        <v>1372606.4283160619</v>
      </c>
      <c r="O39" s="486">
        <f t="shared" si="67"/>
        <v>1375761.4947143861</v>
      </c>
      <c r="P39" s="486">
        <f t="shared" si="67"/>
        <v>1197774.8948612197</v>
      </c>
      <c r="Q39" s="486">
        <f t="shared" si="67"/>
        <v>1099342.9251709476</v>
      </c>
      <c r="R39" s="486">
        <f t="shared" si="67"/>
        <v>1049152.6126321498</v>
      </c>
      <c r="S39" s="486">
        <f>SUM(S36,S33,S30,S27,S24,S21,S18,S15)</f>
        <v>13548329.876915794</v>
      </c>
      <c r="U39" s="486">
        <f t="shared" ref="U39:AG39" si="68">SUM(U36,U33,U30,U27,U24,U21,U18,U15)</f>
        <v>4383.3204964732349</v>
      </c>
      <c r="V39" s="486">
        <f t="shared" si="68"/>
        <v>199799.62464905882</v>
      </c>
      <c r="W39" s="486">
        <f t="shared" si="68"/>
        <v>1934568.0428732277</v>
      </c>
      <c r="X39" s="486">
        <f t="shared" si="68"/>
        <v>419554.08908467263</v>
      </c>
      <c r="Y39" s="486">
        <f t="shared" si="68"/>
        <v>546542.16319753777</v>
      </c>
      <c r="Z39" s="486">
        <f t="shared" si="68"/>
        <v>1505749.5173160066</v>
      </c>
      <c r="AA39" s="486">
        <f t="shared" si="68"/>
        <v>424675.01630992658</v>
      </c>
      <c r="AB39" s="486">
        <f t="shared" si="68"/>
        <v>2803579.1645558923</v>
      </c>
      <c r="AC39" s="486">
        <f t="shared" si="68"/>
        <v>2874714.6561450749</v>
      </c>
      <c r="AD39" s="486">
        <f t="shared" si="68"/>
        <v>1768774.4964972548</v>
      </c>
      <c r="AE39" s="486">
        <f t="shared" si="68"/>
        <v>1081256.9967153496</v>
      </c>
      <c r="AF39" s="486">
        <f t="shared" si="68"/>
        <v>731336.35206081904</v>
      </c>
      <c r="AG39" s="486">
        <f t="shared" si="68"/>
        <v>14294933.439901298</v>
      </c>
    </row>
    <row r="40" spans="1:36" s="134" customFormat="1" ht="12.75">
      <c r="C40" s="199"/>
      <c r="D40" s="200"/>
      <c r="E40" s="200"/>
      <c r="F40" s="181"/>
      <c r="G40" s="486">
        <f>G5-G39</f>
        <v>0</v>
      </c>
      <c r="H40" s="486">
        <f t="shared" ref="H40:S40" si="69">H5-H39</f>
        <v>0</v>
      </c>
      <c r="I40" s="486">
        <f t="shared" si="69"/>
        <v>0</v>
      </c>
      <c r="J40" s="486">
        <f t="shared" si="69"/>
        <v>0</v>
      </c>
      <c r="K40" s="486">
        <f t="shared" si="69"/>
        <v>0</v>
      </c>
      <c r="L40" s="486">
        <f t="shared" si="69"/>
        <v>0</v>
      </c>
      <c r="M40" s="486">
        <f t="shared" si="69"/>
        <v>0</v>
      </c>
      <c r="N40" s="486">
        <f t="shared" si="69"/>
        <v>0</v>
      </c>
      <c r="O40" s="486">
        <f t="shared" si="69"/>
        <v>0</v>
      </c>
      <c r="P40" s="486">
        <f t="shared" si="69"/>
        <v>0</v>
      </c>
      <c r="Q40" s="486">
        <f t="shared" si="69"/>
        <v>0</v>
      </c>
      <c r="R40" s="486">
        <f t="shared" si="69"/>
        <v>0</v>
      </c>
      <c r="S40" s="486">
        <f t="shared" si="69"/>
        <v>0</v>
      </c>
      <c r="U40" s="486">
        <f t="shared" ref="U40" si="70">U5-U39</f>
        <v>0</v>
      </c>
      <c r="V40" s="486">
        <f t="shared" ref="V40" si="71">V5-V39</f>
        <v>0</v>
      </c>
      <c r="W40" s="486">
        <f t="shared" ref="W40" si="72">W5-W39</f>
        <v>0</v>
      </c>
      <c r="X40" s="486">
        <f t="shared" ref="X40" si="73">X5-X39</f>
        <v>0</v>
      </c>
      <c r="Y40" s="486">
        <f t="shared" ref="Y40" si="74">Y5-Y39</f>
        <v>0</v>
      </c>
      <c r="Z40" s="486">
        <f t="shared" ref="Z40" si="75">Z5-Z39</f>
        <v>0</v>
      </c>
      <c r="AA40" s="486">
        <f t="shared" ref="AA40" si="76">AA5-AA39</f>
        <v>0</v>
      </c>
      <c r="AB40" s="486">
        <f t="shared" ref="AB40" si="77">AB5-AB39</f>
        <v>0</v>
      </c>
      <c r="AC40" s="486">
        <f t="shared" ref="AC40" si="78">AC5-AC39</f>
        <v>0</v>
      </c>
      <c r="AD40" s="486">
        <f t="shared" ref="AD40" si="79">AD5-AD39</f>
        <v>0</v>
      </c>
      <c r="AE40" s="486">
        <f t="shared" ref="AE40" si="80">AE5-AE39</f>
        <v>0</v>
      </c>
      <c r="AF40" s="486">
        <f t="shared" ref="AF40" si="81">AF5-AF39</f>
        <v>0</v>
      </c>
      <c r="AG40" s="486">
        <f t="shared" ref="AG40" si="82">AG5-AG39</f>
        <v>0</v>
      </c>
    </row>
    <row r="41" spans="1:36">
      <c r="C41" s="199"/>
      <c r="D41" s="200"/>
      <c r="E41" s="200"/>
    </row>
    <row r="42" spans="1:36">
      <c r="C42" s="199"/>
      <c r="D42" s="200"/>
      <c r="E42" s="200"/>
    </row>
    <row r="43" spans="1:36">
      <c r="C43" s="199"/>
      <c r="D43" s="200"/>
      <c r="E43" s="200"/>
    </row>
    <row r="44" spans="1:36">
      <c r="C44" s="199"/>
      <c r="D44" s="200"/>
      <c r="E44" s="200"/>
    </row>
    <row r="47" spans="1:36">
      <c r="T47" s="134"/>
    </row>
  </sheetData>
  <pageMargins left="0.94488188976377963" right="0.55118110236220474" top="0.59055118110236227" bottom="0.59055118110236227" header="0.51181102362204722" footer="0.51181102362204722"/>
  <pageSetup paperSize="9" scale="6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K30"/>
  <sheetViews>
    <sheetView showGridLines="0" zoomScale="120" zoomScaleNormal="120" zoomScalePageLayoutView="120" workbookViewId="0">
      <pane xSplit="2" ySplit="4" topLeftCell="E5" activePane="bottomRight" state="frozen"/>
      <selection activeCell="D23" sqref="D23"/>
      <selection pane="topRight" activeCell="D23" sqref="D23"/>
      <selection pane="bottomLeft" activeCell="D23" sqref="D23"/>
      <selection pane="bottomRight" activeCell="AJ11" sqref="AJ11"/>
    </sheetView>
  </sheetViews>
  <sheetFormatPr defaultColWidth="10.85546875" defaultRowHeight="15" outlineLevelRow="1" outlineLevelCol="1"/>
  <cols>
    <col min="1" max="1" width="7.42578125" style="45" customWidth="1" outlineLevel="1"/>
    <col min="2" max="2" width="28" style="45" customWidth="1"/>
    <col min="3" max="3" width="23.140625" style="45" customWidth="1" outlineLevel="1"/>
    <col min="4" max="5" width="15.28515625" style="45" customWidth="1" outlineLevel="1"/>
    <col min="6" max="6" width="1.42578125" customWidth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8.28515625" style="45" bestFit="1" customWidth="1"/>
    <col min="21" max="22" width="11.140625" style="45" hidden="1" customWidth="1" outlineLevel="1"/>
    <col min="23" max="32" width="11.7109375" style="45" hidden="1" customWidth="1" outlineLevel="1"/>
    <col min="33" max="33" width="13.28515625" style="45" customWidth="1" collapsed="1"/>
    <col min="34" max="34" width="10.85546875" style="45"/>
    <col min="35" max="35" width="17.7109375" style="45" bestFit="1" customWidth="1"/>
    <col min="36" max="36" width="13.7109375" style="45" bestFit="1" customWidth="1"/>
    <col min="37" max="16384" width="10.85546875" style="45"/>
  </cols>
  <sheetData>
    <row r="1" spans="1:37" s="88" customFormat="1">
      <c r="A1" s="36"/>
      <c r="B1" s="37" t="s">
        <v>77</v>
      </c>
      <c r="G1" s="312">
        <v>68</v>
      </c>
      <c r="H1" s="312">
        <v>69</v>
      </c>
      <c r="I1" s="312">
        <v>70</v>
      </c>
      <c r="J1" s="312">
        <v>71</v>
      </c>
      <c r="K1" s="312">
        <v>72</v>
      </c>
      <c r="L1" s="312">
        <v>73</v>
      </c>
      <c r="M1" s="312">
        <v>74</v>
      </c>
      <c r="N1" s="312">
        <v>75</v>
      </c>
      <c r="O1" s="312">
        <v>76</v>
      </c>
      <c r="P1" s="312">
        <v>77</v>
      </c>
      <c r="Q1" s="312">
        <v>78</v>
      </c>
      <c r="R1" s="312">
        <v>79</v>
      </c>
    </row>
    <row r="2" spans="1:37" s="156" customFormat="1" ht="12.75">
      <c r="A2" s="153"/>
      <c r="B2" s="154"/>
      <c r="C2" s="155">
        <v>41974</v>
      </c>
      <c r="D2" s="155">
        <v>42339</v>
      </c>
      <c r="E2" s="155">
        <v>42705</v>
      </c>
      <c r="G2" s="155">
        <v>42736</v>
      </c>
      <c r="H2" s="155">
        <v>42767</v>
      </c>
      <c r="I2" s="155">
        <v>42795</v>
      </c>
      <c r="J2" s="155">
        <v>42826</v>
      </c>
      <c r="K2" s="155">
        <v>42856</v>
      </c>
      <c r="L2" s="155">
        <v>42887</v>
      </c>
      <c r="M2" s="155">
        <v>42917</v>
      </c>
      <c r="N2" s="155">
        <v>42948</v>
      </c>
      <c r="O2" s="155">
        <v>42979</v>
      </c>
      <c r="P2" s="155">
        <v>43009</v>
      </c>
      <c r="Q2" s="155">
        <v>43040</v>
      </c>
      <c r="R2" s="157">
        <v>43070</v>
      </c>
      <c r="S2" s="192">
        <v>2017</v>
      </c>
      <c r="T2" s="212"/>
      <c r="U2" s="159">
        <v>43101</v>
      </c>
      <c r="V2" s="159">
        <v>43132</v>
      </c>
      <c r="W2" s="159">
        <v>43160</v>
      </c>
      <c r="X2" s="159">
        <v>43191</v>
      </c>
      <c r="Y2" s="159">
        <v>43221</v>
      </c>
      <c r="Z2" s="159">
        <v>43252</v>
      </c>
      <c r="AA2" s="159">
        <v>43282</v>
      </c>
      <c r="AB2" s="159">
        <v>43313</v>
      </c>
      <c r="AC2" s="159">
        <v>43344</v>
      </c>
      <c r="AD2" s="159">
        <v>43374</v>
      </c>
      <c r="AE2" s="159">
        <v>43405</v>
      </c>
      <c r="AF2" s="159">
        <v>43435</v>
      </c>
      <c r="AG2" s="160">
        <v>2018</v>
      </c>
    </row>
    <row r="3" spans="1:37" s="156" customFormat="1" ht="12.75">
      <c r="A3" s="153"/>
      <c r="B3" s="161"/>
      <c r="C3" s="162" t="s">
        <v>0</v>
      </c>
      <c r="D3" s="162" t="s">
        <v>0</v>
      </c>
      <c r="E3" s="162" t="s">
        <v>0</v>
      </c>
      <c r="G3" s="162" t="s">
        <v>130</v>
      </c>
      <c r="H3" s="162" t="s">
        <v>130</v>
      </c>
      <c r="I3" s="162" t="s">
        <v>130</v>
      </c>
      <c r="J3" s="162" t="s">
        <v>130</v>
      </c>
      <c r="K3" s="162" t="s">
        <v>130</v>
      </c>
      <c r="L3" s="162" t="s">
        <v>130</v>
      </c>
      <c r="M3" s="162" t="s">
        <v>130</v>
      </c>
      <c r="N3" s="162" t="s">
        <v>130</v>
      </c>
      <c r="O3" s="162" t="s">
        <v>130</v>
      </c>
      <c r="P3" s="162" t="s">
        <v>130</v>
      </c>
      <c r="Q3" s="162" t="s">
        <v>130</v>
      </c>
      <c r="R3" s="163" t="s">
        <v>130</v>
      </c>
      <c r="S3" s="163" t="s">
        <v>0</v>
      </c>
      <c r="T3" s="158"/>
      <c r="U3" s="164" t="s">
        <v>130</v>
      </c>
      <c r="V3" s="164" t="s">
        <v>130</v>
      </c>
      <c r="W3" s="164" t="s">
        <v>130</v>
      </c>
      <c r="X3" s="164" t="s">
        <v>130</v>
      </c>
      <c r="Y3" s="164" t="s">
        <v>130</v>
      </c>
      <c r="Z3" s="164" t="s">
        <v>130</v>
      </c>
      <c r="AA3" s="164" t="s">
        <v>130</v>
      </c>
      <c r="AB3" s="164" t="s">
        <v>130</v>
      </c>
      <c r="AC3" s="164" t="s">
        <v>130</v>
      </c>
      <c r="AD3" s="164" t="s">
        <v>130</v>
      </c>
      <c r="AE3" s="164" t="s">
        <v>130</v>
      </c>
      <c r="AF3" s="164" t="s">
        <v>130</v>
      </c>
      <c r="AG3" s="164" t="s">
        <v>0</v>
      </c>
    </row>
    <row r="4" spans="1:37" s="156" customFormat="1" ht="12.75">
      <c r="A4" s="153"/>
      <c r="B4" s="154" t="s">
        <v>78</v>
      </c>
      <c r="C4" s="165" t="s">
        <v>79</v>
      </c>
      <c r="D4" s="165" t="s">
        <v>79</v>
      </c>
      <c r="E4" s="165" t="s">
        <v>79</v>
      </c>
      <c r="G4" s="165" t="s">
        <v>79</v>
      </c>
      <c r="H4" s="165" t="s">
        <v>79</v>
      </c>
      <c r="I4" s="165" t="s">
        <v>79</v>
      </c>
      <c r="J4" s="165" t="s">
        <v>79</v>
      </c>
      <c r="K4" s="165" t="s">
        <v>79</v>
      </c>
      <c r="L4" s="165" t="s">
        <v>79</v>
      </c>
      <c r="M4" s="165" t="s">
        <v>79</v>
      </c>
      <c r="N4" s="165" t="s">
        <v>79</v>
      </c>
      <c r="O4" s="165" t="s">
        <v>79</v>
      </c>
      <c r="P4" s="165" t="s">
        <v>79</v>
      </c>
      <c r="Q4" s="165" t="s">
        <v>79</v>
      </c>
      <c r="R4" s="166" t="s">
        <v>131</v>
      </c>
      <c r="S4" s="166" t="s">
        <v>131</v>
      </c>
      <c r="T4" s="158"/>
      <c r="U4" s="167" t="s">
        <v>132</v>
      </c>
      <c r="V4" s="167" t="s">
        <v>132</v>
      </c>
      <c r="W4" s="167" t="s">
        <v>132</v>
      </c>
      <c r="X4" s="167" t="s">
        <v>132</v>
      </c>
      <c r="Y4" s="167" t="s">
        <v>132</v>
      </c>
      <c r="Z4" s="167" t="s">
        <v>132</v>
      </c>
      <c r="AA4" s="167" t="s">
        <v>132</v>
      </c>
      <c r="AB4" s="167" t="s">
        <v>132</v>
      </c>
      <c r="AC4" s="167" t="s">
        <v>132</v>
      </c>
      <c r="AD4" s="167" t="s">
        <v>132</v>
      </c>
      <c r="AE4" s="167" t="s">
        <v>132</v>
      </c>
      <c r="AF4" s="167" t="s">
        <v>132</v>
      </c>
      <c r="AG4" s="167" t="s">
        <v>133</v>
      </c>
    </row>
    <row r="5" spans="1:37" s="171" customFormat="1" ht="12.75">
      <c r="A5" s="173">
        <v>1300</v>
      </c>
      <c r="B5" s="174" t="s">
        <v>82</v>
      </c>
      <c r="C5" s="170">
        <f>'PLAN 2018'!C7</f>
        <v>3421091.8166666664</v>
      </c>
      <c r="D5" s="170">
        <f>'PLAN 2018'!D7</f>
        <v>4179925.625</v>
      </c>
      <c r="E5" s="170">
        <f>'PLAN 2018'!E7</f>
        <v>4053045.8450000002</v>
      </c>
      <c r="G5" s="170">
        <f>G29</f>
        <v>82746.666666666672</v>
      </c>
      <c r="H5" s="170">
        <f t="shared" ref="H5:R5" si="0">H29</f>
        <v>99373.426649999979</v>
      </c>
      <c r="I5" s="170">
        <f t="shared" si="0"/>
        <v>342182.70664999995</v>
      </c>
      <c r="J5" s="170">
        <f t="shared" si="0"/>
        <v>466115.17481666675</v>
      </c>
      <c r="K5" s="170">
        <f t="shared" si="0"/>
        <v>645236.91166666639</v>
      </c>
      <c r="L5" s="170">
        <f t="shared" si="0"/>
        <v>492328.67666666704</v>
      </c>
      <c r="M5" s="170">
        <f t="shared" si="0"/>
        <v>481246.48833333328</v>
      </c>
      <c r="N5" s="170">
        <f t="shared" si="0"/>
        <v>529619.22833333281</v>
      </c>
      <c r="O5" s="170">
        <f t="shared" si="0"/>
        <v>387142.58666666655</v>
      </c>
      <c r="P5" s="170">
        <f t="shared" si="0"/>
        <v>333599.01333333307</v>
      </c>
      <c r="Q5" s="170">
        <f t="shared" si="0"/>
        <v>163322.10499999986</v>
      </c>
      <c r="R5" s="170">
        <f t="shared" si="0"/>
        <v>73136.491666667178</v>
      </c>
      <c r="S5" s="170">
        <f>SUM(G5:R5)</f>
        <v>4096049.4764499995</v>
      </c>
      <c r="U5" s="170">
        <f t="shared" ref="U5:AF5" si="1">U29</f>
        <v>82746.666666666672</v>
      </c>
      <c r="V5" s="170">
        <f t="shared" si="1"/>
        <v>99373.426649999979</v>
      </c>
      <c r="W5" s="170">
        <f t="shared" si="1"/>
        <v>342182.70664999995</v>
      </c>
      <c r="X5" s="170">
        <f t="shared" si="1"/>
        <v>466115.17481666675</v>
      </c>
      <c r="Y5" s="170">
        <f t="shared" si="1"/>
        <v>784918.57833333302</v>
      </c>
      <c r="Z5" s="170">
        <f t="shared" si="1"/>
        <v>492328.67666666704</v>
      </c>
      <c r="AA5" s="170">
        <f t="shared" si="1"/>
        <v>481246.48833333328</v>
      </c>
      <c r="AB5" s="170">
        <f t="shared" si="1"/>
        <v>529619.22833333281</v>
      </c>
      <c r="AC5" s="170">
        <f t="shared" si="1"/>
        <v>387142.58666666655</v>
      </c>
      <c r="AD5" s="170">
        <f t="shared" si="1"/>
        <v>333599.01333333307</v>
      </c>
      <c r="AE5" s="170">
        <f t="shared" si="1"/>
        <v>163322.10499999986</v>
      </c>
      <c r="AF5" s="170">
        <f t="shared" si="1"/>
        <v>73136.491666667178</v>
      </c>
      <c r="AG5" s="170">
        <f>SUM(U5:AF5)</f>
        <v>4235731.1431166669</v>
      </c>
      <c r="AJ5" s="172"/>
    </row>
    <row r="6" spans="1:37" s="171" customFormat="1" ht="12.75" outlineLevel="1">
      <c r="A6" s="193">
        <v>2300</v>
      </c>
      <c r="B6" s="194" t="s">
        <v>93</v>
      </c>
      <c r="C6" s="170">
        <f>'PLAN 2018'!C19</f>
        <v>2080583.3399999999</v>
      </c>
      <c r="D6" s="170">
        <f>'PLAN 2018'!D19</f>
        <v>2551142.6016666666</v>
      </c>
      <c r="E6" s="170">
        <f>'PLAN 2018'!E19</f>
        <v>2491086.7716666665</v>
      </c>
      <c r="G6" s="170">
        <f>0.62*G5</f>
        <v>51302.933333333334</v>
      </c>
      <c r="H6" s="170">
        <f t="shared" ref="H6:R6" si="2">0.62*H5</f>
        <v>61611.524522999985</v>
      </c>
      <c r="I6" s="170">
        <f t="shared" si="2"/>
        <v>212153.27812299997</v>
      </c>
      <c r="J6" s="170">
        <f t="shared" si="2"/>
        <v>288991.40838633338</v>
      </c>
      <c r="K6" s="170">
        <f t="shared" si="2"/>
        <v>400046.88523333316</v>
      </c>
      <c r="L6" s="170">
        <f t="shared" si="2"/>
        <v>305243.77953333355</v>
      </c>
      <c r="M6" s="170">
        <f t="shared" si="2"/>
        <v>298372.82276666665</v>
      </c>
      <c r="N6" s="170">
        <f t="shared" si="2"/>
        <v>328363.92156666634</v>
      </c>
      <c r="O6" s="170">
        <f t="shared" si="2"/>
        <v>240028.40373333325</v>
      </c>
      <c r="P6" s="170">
        <f t="shared" si="2"/>
        <v>206831.3882666665</v>
      </c>
      <c r="Q6" s="170">
        <f t="shared" si="2"/>
        <v>101259.70509999992</v>
      </c>
      <c r="R6" s="170">
        <f t="shared" si="2"/>
        <v>45344.624833333648</v>
      </c>
      <c r="S6" s="170">
        <f>SUM(G6:R6)</f>
        <v>2539550.6753989998</v>
      </c>
      <c r="T6" s="211"/>
      <c r="U6" s="170">
        <f>U5-U7</f>
        <v>51302.933333333334</v>
      </c>
      <c r="V6" s="170">
        <f t="shared" ref="V6:AF6" si="3">V5-V7</f>
        <v>61611.524522999985</v>
      </c>
      <c r="W6" s="170">
        <f t="shared" si="3"/>
        <v>212153.27812299997</v>
      </c>
      <c r="X6" s="170">
        <f t="shared" si="3"/>
        <v>288991.40838633338</v>
      </c>
      <c r="Y6" s="170">
        <f t="shared" si="3"/>
        <v>486649.51856666646</v>
      </c>
      <c r="Z6" s="170">
        <f t="shared" si="3"/>
        <v>305243.77953333355</v>
      </c>
      <c r="AA6" s="170">
        <f t="shared" si="3"/>
        <v>298372.82276666665</v>
      </c>
      <c r="AB6" s="170">
        <f t="shared" si="3"/>
        <v>328363.92156666634</v>
      </c>
      <c r="AC6" s="170">
        <f t="shared" si="3"/>
        <v>240028.40373333325</v>
      </c>
      <c r="AD6" s="170">
        <f t="shared" si="3"/>
        <v>206831.3882666665</v>
      </c>
      <c r="AE6" s="170">
        <f t="shared" si="3"/>
        <v>101259.70509999992</v>
      </c>
      <c r="AF6" s="170">
        <f t="shared" si="3"/>
        <v>45344.624833333655</v>
      </c>
      <c r="AG6" s="170">
        <f>SUM(U6:AF6)</f>
        <v>2626153.3087323331</v>
      </c>
    </row>
    <row r="7" spans="1:37" s="171" customFormat="1" ht="12.75" outlineLevel="1">
      <c r="A7" s="173">
        <v>9230</v>
      </c>
      <c r="B7" s="174" t="s">
        <v>9</v>
      </c>
      <c r="C7" s="170">
        <f>C5-C6</f>
        <v>1340508.4766666666</v>
      </c>
      <c r="D7" s="170">
        <f t="shared" ref="D7:E7" si="4">D5-D6</f>
        <v>1628783.0233333334</v>
      </c>
      <c r="E7" s="170">
        <f t="shared" si="4"/>
        <v>1561959.0733333337</v>
      </c>
      <c r="G7" s="170">
        <f t="shared" ref="G7:R7" si="5">G5-G6</f>
        <v>31443.733333333337</v>
      </c>
      <c r="H7" s="170">
        <f t="shared" si="5"/>
        <v>37761.902126999994</v>
      </c>
      <c r="I7" s="170">
        <f t="shared" si="5"/>
        <v>130029.42852699998</v>
      </c>
      <c r="J7" s="170">
        <f t="shared" si="5"/>
        <v>177123.76643033337</v>
      </c>
      <c r="K7" s="170">
        <f t="shared" si="5"/>
        <v>245190.02643333323</v>
      </c>
      <c r="L7" s="170">
        <f t="shared" si="5"/>
        <v>187084.89713333349</v>
      </c>
      <c r="M7" s="170">
        <f t="shared" si="5"/>
        <v>182873.66556666663</v>
      </c>
      <c r="N7" s="170">
        <f t="shared" si="5"/>
        <v>201255.30676666647</v>
      </c>
      <c r="O7" s="170">
        <f t="shared" si="5"/>
        <v>147114.1829333333</v>
      </c>
      <c r="P7" s="170">
        <f t="shared" si="5"/>
        <v>126767.62506666657</v>
      </c>
      <c r="Q7" s="170">
        <f t="shared" si="5"/>
        <v>62062.399899999946</v>
      </c>
      <c r="R7" s="170">
        <f t="shared" si="5"/>
        <v>27791.86683333353</v>
      </c>
      <c r="S7" s="170">
        <f>SUM(G7:R7)</f>
        <v>1556498.8010509999</v>
      </c>
      <c r="T7" s="170"/>
      <c r="U7" s="170">
        <f>U5*U8</f>
        <v>31443.733333333337</v>
      </c>
      <c r="V7" s="170">
        <f t="shared" ref="V7:AF7" si="6">V5*V8</f>
        <v>37761.902126999994</v>
      </c>
      <c r="W7" s="170">
        <f t="shared" si="6"/>
        <v>130029.42852699998</v>
      </c>
      <c r="X7" s="170">
        <f t="shared" si="6"/>
        <v>177123.76643033337</v>
      </c>
      <c r="Y7" s="170">
        <f t="shared" si="6"/>
        <v>298269.05976666656</v>
      </c>
      <c r="Z7" s="170">
        <f t="shared" si="6"/>
        <v>187084.89713333349</v>
      </c>
      <c r="AA7" s="170">
        <f t="shared" si="6"/>
        <v>182873.66556666666</v>
      </c>
      <c r="AB7" s="170">
        <f t="shared" si="6"/>
        <v>201255.30676666647</v>
      </c>
      <c r="AC7" s="170">
        <f t="shared" si="6"/>
        <v>147114.1829333333</v>
      </c>
      <c r="AD7" s="170">
        <f t="shared" si="6"/>
        <v>126767.62506666657</v>
      </c>
      <c r="AE7" s="170">
        <f t="shared" si="6"/>
        <v>62062.399899999946</v>
      </c>
      <c r="AF7" s="170">
        <f t="shared" si="6"/>
        <v>27791.866833333526</v>
      </c>
      <c r="AG7" s="170">
        <f>SUM(U7:AF7)</f>
        <v>1609577.8343843333</v>
      </c>
    </row>
    <row r="8" spans="1:37" s="171" customFormat="1" ht="12.75" outlineLevel="1">
      <c r="A8" s="177">
        <v>9293</v>
      </c>
      <c r="B8" s="178" t="s">
        <v>7</v>
      </c>
      <c r="C8" s="195">
        <f>C7/C5</f>
        <v>0.39183645119843297</v>
      </c>
      <c r="D8" s="195">
        <f t="shared" ref="D8:E8" si="7">D7/D5</f>
        <v>0.38966794375278707</v>
      </c>
      <c r="E8" s="195">
        <f t="shared" si="7"/>
        <v>0.38537907861571047</v>
      </c>
      <c r="G8" s="195">
        <f t="shared" ref="G8:S8" si="8">G7/G5</f>
        <v>0.38</v>
      </c>
      <c r="H8" s="195">
        <f t="shared" si="8"/>
        <v>0.38</v>
      </c>
      <c r="I8" s="195">
        <f t="shared" si="8"/>
        <v>0.38</v>
      </c>
      <c r="J8" s="195">
        <f t="shared" si="8"/>
        <v>0.38</v>
      </c>
      <c r="K8" s="195">
        <f t="shared" si="8"/>
        <v>0.38</v>
      </c>
      <c r="L8" s="195">
        <f t="shared" si="8"/>
        <v>0.38</v>
      </c>
      <c r="M8" s="195">
        <f t="shared" si="8"/>
        <v>0.37999999999999995</v>
      </c>
      <c r="N8" s="195">
        <f t="shared" si="8"/>
        <v>0.38</v>
      </c>
      <c r="O8" s="195">
        <f t="shared" si="8"/>
        <v>0.38</v>
      </c>
      <c r="P8" s="195">
        <f t="shared" si="8"/>
        <v>0.38</v>
      </c>
      <c r="Q8" s="195">
        <f t="shared" si="8"/>
        <v>0.38</v>
      </c>
      <c r="R8" s="195">
        <f t="shared" si="8"/>
        <v>0.38</v>
      </c>
      <c r="S8" s="195">
        <f t="shared" si="8"/>
        <v>0.38</v>
      </c>
      <c r="T8" s="195"/>
      <c r="U8" s="196">
        <v>0.38</v>
      </c>
      <c r="V8" s="196">
        <v>0.38</v>
      </c>
      <c r="W8" s="196">
        <v>0.38</v>
      </c>
      <c r="X8" s="196">
        <v>0.38</v>
      </c>
      <c r="Y8" s="196">
        <v>0.38</v>
      </c>
      <c r="Z8" s="196">
        <v>0.38</v>
      </c>
      <c r="AA8" s="196">
        <v>0.38</v>
      </c>
      <c r="AB8" s="196">
        <v>0.38</v>
      </c>
      <c r="AC8" s="196">
        <v>0.38</v>
      </c>
      <c r="AD8" s="196">
        <v>0.38</v>
      </c>
      <c r="AE8" s="196">
        <v>0.38</v>
      </c>
      <c r="AF8" s="196">
        <v>0.38</v>
      </c>
      <c r="AG8" s="195">
        <f t="shared" ref="AG8" si="9">AG7/AG5</f>
        <v>0.38</v>
      </c>
    </row>
    <row r="11" spans="1:37" s="134" customFormat="1" ht="13.5" thickBot="1">
      <c r="A11" s="131" t="s">
        <v>164</v>
      </c>
      <c r="B11" s="131" t="s">
        <v>165</v>
      </c>
      <c r="F11" s="132"/>
      <c r="AJ11" s="487" t="s">
        <v>585</v>
      </c>
      <c r="AK11" s="134" t="s">
        <v>524</v>
      </c>
    </row>
    <row r="12" spans="1:37" s="134" customFormat="1" ht="13.5" thickTop="1">
      <c r="A12" s="133">
        <v>5</v>
      </c>
      <c r="B12" s="183" t="s">
        <v>510</v>
      </c>
      <c r="F12" s="132"/>
      <c r="G12" s="184">
        <f t="shared" ref="G12:R12" si="10">SUM(G13:G15)</f>
        <v>119</v>
      </c>
      <c r="H12" s="184">
        <f t="shared" si="10"/>
        <v>19155.18</v>
      </c>
      <c r="I12" s="184">
        <f t="shared" si="10"/>
        <v>7079.2449999999999</v>
      </c>
      <c r="J12" s="184">
        <f t="shared" si="10"/>
        <v>11977.553333333333</v>
      </c>
      <c r="K12" s="184">
        <f t="shared" si="10"/>
        <v>17357.52</v>
      </c>
      <c r="L12" s="184">
        <f t="shared" si="10"/>
        <v>11266.41</v>
      </c>
      <c r="M12" s="184">
        <f t="shared" si="10"/>
        <v>7833.8166666666675</v>
      </c>
      <c r="N12" s="184">
        <f t="shared" si="10"/>
        <v>12672.1934</v>
      </c>
      <c r="O12" s="184">
        <f t="shared" si="10"/>
        <v>14653.5</v>
      </c>
      <c r="P12" s="184">
        <f t="shared" si="10"/>
        <v>3163.3333333333335</v>
      </c>
      <c r="Q12" s="184">
        <f t="shared" si="10"/>
        <v>3000</v>
      </c>
      <c r="R12" s="184">
        <f t="shared" si="10"/>
        <v>2000.0000000000002</v>
      </c>
      <c r="S12" s="184">
        <f>SUM(S13:S15)</f>
        <v>110277.75173333334</v>
      </c>
      <c r="U12" s="184">
        <f t="shared" ref="U12:AF12" si="11">SUM(U13:U15)</f>
        <v>119</v>
      </c>
      <c r="V12" s="184">
        <f t="shared" si="11"/>
        <v>19155.18</v>
      </c>
      <c r="W12" s="184">
        <f t="shared" si="11"/>
        <v>7079.2449999999999</v>
      </c>
      <c r="X12" s="184">
        <f t="shared" si="11"/>
        <v>11977.553333333333</v>
      </c>
      <c r="Y12" s="184">
        <f t="shared" si="11"/>
        <v>17357.52</v>
      </c>
      <c r="Z12" s="184">
        <f t="shared" si="11"/>
        <v>11266.41</v>
      </c>
      <c r="AA12" s="184">
        <f t="shared" si="11"/>
        <v>7833.8166666666675</v>
      </c>
      <c r="AB12" s="184">
        <f t="shared" si="11"/>
        <v>12672.1934</v>
      </c>
      <c r="AC12" s="184">
        <f t="shared" si="11"/>
        <v>14653.5</v>
      </c>
      <c r="AD12" s="184">
        <f t="shared" si="11"/>
        <v>3163.3333333333335</v>
      </c>
      <c r="AE12" s="184">
        <f t="shared" si="11"/>
        <v>3000</v>
      </c>
      <c r="AF12" s="184">
        <f t="shared" si="11"/>
        <v>2000.0000000000002</v>
      </c>
      <c r="AG12" s="184">
        <f t="shared" ref="AG12:AG29" si="12">SUM(U12:AF12)</f>
        <v>110277.75173333334</v>
      </c>
      <c r="AH12" s="184">
        <f t="shared" ref="AH12" si="13">SUM(AH13:AH15)</f>
        <v>110277.75173333334</v>
      </c>
      <c r="AJ12" s="483">
        <v>1</v>
      </c>
    </row>
    <row r="13" spans="1:37" s="134" customFormat="1" ht="12.75">
      <c r="A13" s="132">
        <v>511</v>
      </c>
      <c r="B13" s="186" t="s">
        <v>511</v>
      </c>
      <c r="F13" s="132"/>
      <c r="G13" s="185">
        <v>0</v>
      </c>
      <c r="H13" s="185">
        <v>16835.163333333334</v>
      </c>
      <c r="I13" s="185">
        <v>1441.8533333333332</v>
      </c>
      <c r="J13" s="185">
        <v>5372.22</v>
      </c>
      <c r="K13" s="185">
        <v>5460.5116666666663</v>
      </c>
      <c r="L13" s="185">
        <v>4911.5766666666668</v>
      </c>
      <c r="M13" s="185">
        <v>3715.7333333333336</v>
      </c>
      <c r="N13" s="185">
        <v>5152.6200666666664</v>
      </c>
      <c r="O13" s="185">
        <v>11369</v>
      </c>
      <c r="P13" s="185">
        <v>2653.3333333333335</v>
      </c>
      <c r="Q13" s="185">
        <v>2666.6666666666665</v>
      </c>
      <c r="R13" s="185">
        <v>1666.666666666667</v>
      </c>
      <c r="S13" s="185">
        <f t="shared" ref="S13:S29" si="14">SUM(G13:R13)</f>
        <v>61245.345066666669</v>
      </c>
      <c r="U13" s="185">
        <f>$AJ13*G13</f>
        <v>0</v>
      </c>
      <c r="V13" s="185">
        <f t="shared" ref="V13:AF15" si="15">$AJ13*H13</f>
        <v>16835.163333333334</v>
      </c>
      <c r="W13" s="185">
        <f t="shared" si="15"/>
        <v>1441.8533333333332</v>
      </c>
      <c r="X13" s="185">
        <f t="shared" si="15"/>
        <v>5372.22</v>
      </c>
      <c r="Y13" s="185">
        <f t="shared" si="15"/>
        <v>5460.5116666666663</v>
      </c>
      <c r="Z13" s="185">
        <f t="shared" si="15"/>
        <v>4911.5766666666668</v>
      </c>
      <c r="AA13" s="185">
        <f t="shared" si="15"/>
        <v>3715.7333333333336</v>
      </c>
      <c r="AB13" s="185">
        <f t="shared" si="15"/>
        <v>5152.6200666666664</v>
      </c>
      <c r="AC13" s="185">
        <f t="shared" si="15"/>
        <v>11369</v>
      </c>
      <c r="AD13" s="185">
        <f t="shared" si="15"/>
        <v>2653.3333333333335</v>
      </c>
      <c r="AE13" s="185">
        <f t="shared" si="15"/>
        <v>2666.6666666666665</v>
      </c>
      <c r="AF13" s="185">
        <f t="shared" si="15"/>
        <v>1666.666666666667</v>
      </c>
      <c r="AG13" s="185">
        <f t="shared" si="12"/>
        <v>61245.345066666669</v>
      </c>
      <c r="AH13" s="185">
        <f t="shared" ref="AH13:AH26" si="16">AJ13*S13</f>
        <v>61245.345066666669</v>
      </c>
      <c r="AJ13" s="483">
        <v>1</v>
      </c>
    </row>
    <row r="14" spans="1:37" s="134" customFormat="1" ht="12.75">
      <c r="A14" s="132">
        <v>512</v>
      </c>
      <c r="B14" s="186" t="s">
        <v>512</v>
      </c>
      <c r="F14" s="132"/>
      <c r="G14" s="185">
        <v>119</v>
      </c>
      <c r="H14" s="185">
        <v>1262.25</v>
      </c>
      <c r="I14" s="185">
        <v>36.69166666666667</v>
      </c>
      <c r="J14" s="185">
        <v>0</v>
      </c>
      <c r="K14" s="185">
        <v>203.33333333333337</v>
      </c>
      <c r="L14" s="185">
        <v>3309.6666666666665</v>
      </c>
      <c r="M14" s="185">
        <v>745</v>
      </c>
      <c r="N14" s="185">
        <v>0</v>
      </c>
      <c r="O14" s="185">
        <v>0</v>
      </c>
      <c r="P14" s="185">
        <v>226.66666666666666</v>
      </c>
      <c r="Q14" s="185">
        <v>0</v>
      </c>
      <c r="R14" s="185">
        <v>0</v>
      </c>
      <c r="S14" s="185">
        <f t="shared" si="14"/>
        <v>5902.6083333333336</v>
      </c>
      <c r="U14" s="185">
        <f t="shared" ref="U14:U15" si="17">$AJ14*G14</f>
        <v>119</v>
      </c>
      <c r="V14" s="185">
        <f t="shared" si="15"/>
        <v>1262.25</v>
      </c>
      <c r="W14" s="185">
        <f t="shared" si="15"/>
        <v>36.69166666666667</v>
      </c>
      <c r="X14" s="185">
        <f t="shared" si="15"/>
        <v>0</v>
      </c>
      <c r="Y14" s="185">
        <f t="shared" si="15"/>
        <v>203.33333333333337</v>
      </c>
      <c r="Z14" s="185">
        <f t="shared" si="15"/>
        <v>3309.6666666666665</v>
      </c>
      <c r="AA14" s="185">
        <f t="shared" si="15"/>
        <v>745</v>
      </c>
      <c r="AB14" s="185">
        <f t="shared" si="15"/>
        <v>0</v>
      </c>
      <c r="AC14" s="185">
        <f t="shared" si="15"/>
        <v>0</v>
      </c>
      <c r="AD14" s="185">
        <f t="shared" si="15"/>
        <v>226.66666666666666</v>
      </c>
      <c r="AE14" s="185">
        <f t="shared" si="15"/>
        <v>0</v>
      </c>
      <c r="AF14" s="185">
        <f t="shared" si="15"/>
        <v>0</v>
      </c>
      <c r="AG14" s="185">
        <f t="shared" si="12"/>
        <v>5902.6083333333336</v>
      </c>
      <c r="AH14" s="185">
        <f t="shared" si="16"/>
        <v>5902.6083333333336</v>
      </c>
      <c r="AJ14" s="483">
        <v>1</v>
      </c>
    </row>
    <row r="15" spans="1:37" s="134" customFormat="1" ht="12.75">
      <c r="A15" s="132">
        <v>513</v>
      </c>
      <c r="B15" s="186" t="s">
        <v>513</v>
      </c>
      <c r="F15" s="132"/>
      <c r="G15" s="185">
        <v>0</v>
      </c>
      <c r="H15" s="185">
        <v>1057.7666666666667</v>
      </c>
      <c r="I15" s="185">
        <v>5600.7</v>
      </c>
      <c r="J15" s="185">
        <v>6605.333333333333</v>
      </c>
      <c r="K15" s="185">
        <v>11693.675000000001</v>
      </c>
      <c r="L15" s="185">
        <v>3045.1666666666665</v>
      </c>
      <c r="M15" s="185">
        <v>3373.0833333333335</v>
      </c>
      <c r="N15" s="185">
        <v>7519.5733333333337</v>
      </c>
      <c r="O15" s="185">
        <v>3284.5000000000005</v>
      </c>
      <c r="P15" s="185">
        <f>(((1700)/6)*2.7)/2.7</f>
        <v>283.33333333333331</v>
      </c>
      <c r="Q15" s="185">
        <v>333.33333333333331</v>
      </c>
      <c r="R15" s="185">
        <v>333.33333333333331</v>
      </c>
      <c r="S15" s="185">
        <f t="shared" si="14"/>
        <v>43129.79833333334</v>
      </c>
      <c r="U15" s="185">
        <f t="shared" si="17"/>
        <v>0</v>
      </c>
      <c r="V15" s="185">
        <f t="shared" si="15"/>
        <v>1057.7666666666667</v>
      </c>
      <c r="W15" s="185">
        <f t="shared" si="15"/>
        <v>5600.7</v>
      </c>
      <c r="X15" s="185">
        <f t="shared" si="15"/>
        <v>6605.333333333333</v>
      </c>
      <c r="Y15" s="185">
        <f t="shared" si="15"/>
        <v>11693.675000000001</v>
      </c>
      <c r="Z15" s="185">
        <f t="shared" si="15"/>
        <v>3045.1666666666665</v>
      </c>
      <c r="AA15" s="185">
        <f t="shared" si="15"/>
        <v>3373.0833333333335</v>
      </c>
      <c r="AB15" s="185">
        <f t="shared" si="15"/>
        <v>7519.5733333333337</v>
      </c>
      <c r="AC15" s="185">
        <f t="shared" si="15"/>
        <v>3284.5000000000005</v>
      </c>
      <c r="AD15" s="185">
        <f t="shared" si="15"/>
        <v>283.33333333333331</v>
      </c>
      <c r="AE15" s="185">
        <f t="shared" si="15"/>
        <v>333.33333333333331</v>
      </c>
      <c r="AF15" s="185">
        <f t="shared" si="15"/>
        <v>333.33333333333331</v>
      </c>
      <c r="AG15" s="185">
        <f t="shared" si="12"/>
        <v>43129.79833333334</v>
      </c>
      <c r="AH15" s="185">
        <f t="shared" si="16"/>
        <v>43129.79833333334</v>
      </c>
      <c r="AJ15" s="483">
        <v>1</v>
      </c>
    </row>
    <row r="16" spans="1:37" s="134" customFormat="1" ht="12.75">
      <c r="A16" s="133">
        <v>7</v>
      </c>
      <c r="B16" s="183" t="s">
        <v>510</v>
      </c>
      <c r="F16" s="132"/>
      <c r="G16" s="184">
        <f t="shared" ref="G16:R16" si="18">SUM(G17:G24)</f>
        <v>82627.666666666672</v>
      </c>
      <c r="H16" s="184">
        <f t="shared" si="18"/>
        <v>80218.246649999986</v>
      </c>
      <c r="I16" s="184">
        <f t="shared" si="18"/>
        <v>335103.46164999995</v>
      </c>
      <c r="J16" s="184">
        <f t="shared" si="18"/>
        <v>394183.12148333341</v>
      </c>
      <c r="K16" s="184">
        <f t="shared" si="18"/>
        <v>407834.058333333</v>
      </c>
      <c r="L16" s="184">
        <f t="shared" si="18"/>
        <v>386119.26666666707</v>
      </c>
      <c r="M16" s="184">
        <f t="shared" si="18"/>
        <v>410117.33833333332</v>
      </c>
      <c r="N16" s="184">
        <f t="shared" si="18"/>
        <v>454253.36826666619</v>
      </c>
      <c r="O16" s="184">
        <f t="shared" si="18"/>
        <v>211033.41999999993</v>
      </c>
      <c r="P16" s="184">
        <f t="shared" si="18"/>
        <v>289435.67999999976</v>
      </c>
      <c r="Q16" s="184">
        <f t="shared" si="18"/>
        <v>160322.10499999986</v>
      </c>
      <c r="R16" s="184">
        <f t="shared" si="18"/>
        <v>71136.491666667178</v>
      </c>
      <c r="S16" s="184">
        <f>SUM(S17:S24)</f>
        <v>3282384.2247166662</v>
      </c>
      <c r="U16" s="184">
        <f t="shared" ref="U16:AF16" si="19">SUM(U17:U24)</f>
        <v>82627.666666666672</v>
      </c>
      <c r="V16" s="184">
        <f t="shared" si="19"/>
        <v>80218.246649999986</v>
      </c>
      <c r="W16" s="184">
        <f t="shared" si="19"/>
        <v>335103.46164999995</v>
      </c>
      <c r="X16" s="184">
        <f t="shared" si="19"/>
        <v>394183.12148333341</v>
      </c>
      <c r="Y16" s="184">
        <f t="shared" si="19"/>
        <v>407834.058333333</v>
      </c>
      <c r="Z16" s="184">
        <f t="shared" si="19"/>
        <v>386119.26666666707</v>
      </c>
      <c r="AA16" s="184">
        <f t="shared" si="19"/>
        <v>410117.33833333332</v>
      </c>
      <c r="AB16" s="184">
        <f t="shared" si="19"/>
        <v>454253.36826666619</v>
      </c>
      <c r="AC16" s="184">
        <f t="shared" si="19"/>
        <v>211033.41999999993</v>
      </c>
      <c r="AD16" s="184">
        <f t="shared" si="19"/>
        <v>289435.67999999976</v>
      </c>
      <c r="AE16" s="184">
        <f t="shared" si="19"/>
        <v>160322.10499999986</v>
      </c>
      <c r="AF16" s="184">
        <f t="shared" si="19"/>
        <v>71136.491666667178</v>
      </c>
      <c r="AG16" s="184">
        <f t="shared" si="12"/>
        <v>3282384.2247166666</v>
      </c>
      <c r="AH16" s="184">
        <f t="shared" ref="AH16" si="20">SUM(AH17:AH24)</f>
        <v>3282384.2247166662</v>
      </c>
      <c r="AJ16" s="483">
        <v>1</v>
      </c>
    </row>
    <row r="17" spans="1:36" s="134" customFormat="1" ht="12.75">
      <c r="A17" s="132">
        <v>713</v>
      </c>
      <c r="B17" s="186" t="s">
        <v>514</v>
      </c>
      <c r="F17" s="132"/>
      <c r="G17" s="185">
        <v>0</v>
      </c>
      <c r="H17" s="185">
        <v>261.35999999999996</v>
      </c>
      <c r="I17" s="185">
        <v>14149.653333333334</v>
      </c>
      <c r="J17" s="185">
        <v>7054.666666666667</v>
      </c>
      <c r="K17" s="185">
        <v>23793.679999999997</v>
      </c>
      <c r="L17" s="185">
        <v>15200.666666666666</v>
      </c>
      <c r="M17" s="185">
        <v>58063.116666666669</v>
      </c>
      <c r="N17" s="185">
        <v>11684.233333333332</v>
      </c>
      <c r="O17" s="185">
        <v>60.4</v>
      </c>
      <c r="P17" s="185">
        <v>233.33333333333337</v>
      </c>
      <c r="Q17" s="185">
        <v>0</v>
      </c>
      <c r="R17" s="185">
        <v>0</v>
      </c>
      <c r="S17" s="185">
        <f t="shared" si="14"/>
        <v>130501.11</v>
      </c>
      <c r="U17" s="185">
        <f t="shared" ref="U17:AF24" si="21">$AJ17*G17</f>
        <v>0</v>
      </c>
      <c r="V17" s="185">
        <f t="shared" si="21"/>
        <v>261.35999999999996</v>
      </c>
      <c r="W17" s="185">
        <f t="shared" si="21"/>
        <v>14149.653333333334</v>
      </c>
      <c r="X17" s="185">
        <f t="shared" si="21"/>
        <v>7054.666666666667</v>
      </c>
      <c r="Y17" s="185">
        <f t="shared" si="21"/>
        <v>23793.679999999997</v>
      </c>
      <c r="Z17" s="185">
        <f t="shared" si="21"/>
        <v>15200.666666666666</v>
      </c>
      <c r="AA17" s="185">
        <f t="shared" si="21"/>
        <v>58063.116666666669</v>
      </c>
      <c r="AB17" s="185">
        <f t="shared" si="21"/>
        <v>11684.233333333332</v>
      </c>
      <c r="AC17" s="185">
        <f t="shared" si="21"/>
        <v>60.4</v>
      </c>
      <c r="AD17" s="185">
        <f t="shared" si="21"/>
        <v>233.33333333333337</v>
      </c>
      <c r="AE17" s="185">
        <f t="shared" si="21"/>
        <v>0</v>
      </c>
      <c r="AF17" s="185">
        <f t="shared" si="21"/>
        <v>0</v>
      </c>
      <c r="AG17" s="185">
        <f t="shared" si="12"/>
        <v>130501.11</v>
      </c>
      <c r="AH17" s="185">
        <f t="shared" si="16"/>
        <v>130501.11</v>
      </c>
      <c r="AJ17" s="483">
        <v>1</v>
      </c>
    </row>
    <row r="18" spans="1:36" s="134" customFormat="1" ht="12.75">
      <c r="A18" s="132">
        <v>718</v>
      </c>
      <c r="B18" s="186" t="s">
        <v>515</v>
      </c>
      <c r="F18" s="132"/>
      <c r="G18" s="185">
        <v>78100.36</v>
      </c>
      <c r="H18" s="185">
        <v>60402.99331666666</v>
      </c>
      <c r="I18" s="185">
        <v>213754.29498333333</v>
      </c>
      <c r="J18" s="185">
        <v>345683.53481666668</v>
      </c>
      <c r="K18" s="185">
        <v>301262.13333333301</v>
      </c>
      <c r="L18" s="185">
        <v>282540.75333333376</v>
      </c>
      <c r="M18" s="185">
        <v>319701.19999999995</v>
      </c>
      <c r="N18" s="185">
        <v>370827.02659999958</v>
      </c>
      <c r="O18" s="185">
        <v>154622.68499999991</v>
      </c>
      <c r="P18" s="185">
        <v>196009.01333333307</v>
      </c>
      <c r="Q18" s="185">
        <v>110655.43833333316</v>
      </c>
      <c r="R18" s="185">
        <v>54136.491666667171</v>
      </c>
      <c r="S18" s="185">
        <f t="shared" si="14"/>
        <v>2487695.9247166663</v>
      </c>
      <c r="U18" s="185">
        <f t="shared" si="21"/>
        <v>78100.36</v>
      </c>
      <c r="V18" s="185">
        <f t="shared" si="21"/>
        <v>60402.99331666666</v>
      </c>
      <c r="W18" s="185">
        <f t="shared" si="21"/>
        <v>213754.29498333333</v>
      </c>
      <c r="X18" s="185">
        <f t="shared" si="21"/>
        <v>345683.53481666668</v>
      </c>
      <c r="Y18" s="185">
        <f t="shared" si="21"/>
        <v>301262.13333333301</v>
      </c>
      <c r="Z18" s="185">
        <f t="shared" si="21"/>
        <v>282540.75333333376</v>
      </c>
      <c r="AA18" s="185">
        <f t="shared" si="21"/>
        <v>319701.19999999995</v>
      </c>
      <c r="AB18" s="185">
        <f t="shared" si="21"/>
        <v>370827.02659999958</v>
      </c>
      <c r="AC18" s="185">
        <f t="shared" si="21"/>
        <v>154622.68499999991</v>
      </c>
      <c r="AD18" s="185">
        <f t="shared" si="21"/>
        <v>196009.01333333307</v>
      </c>
      <c r="AE18" s="185">
        <f t="shared" si="21"/>
        <v>110655.43833333316</v>
      </c>
      <c r="AF18" s="185">
        <f t="shared" si="21"/>
        <v>54136.491666667171</v>
      </c>
      <c r="AG18" s="185">
        <f t="shared" si="12"/>
        <v>2487695.9247166663</v>
      </c>
      <c r="AH18" s="185">
        <f t="shared" si="16"/>
        <v>2487695.9247166663</v>
      </c>
      <c r="AJ18" s="483">
        <v>1</v>
      </c>
    </row>
    <row r="19" spans="1:36" s="134" customFormat="1" ht="12.75">
      <c r="A19" s="132">
        <v>715</v>
      </c>
      <c r="B19" s="186" t="s">
        <v>516</v>
      </c>
      <c r="F19" s="132"/>
      <c r="G19" s="185">
        <v>4527.3066666666664</v>
      </c>
      <c r="H19" s="185">
        <v>15839.546666666667</v>
      </c>
      <c r="I19" s="185">
        <v>50316.169999999991</v>
      </c>
      <c r="J19" s="185">
        <v>33148.53</v>
      </c>
      <c r="K19" s="185">
        <v>47720.746666666673</v>
      </c>
      <c r="L19" s="185">
        <v>45114.771666666667</v>
      </c>
      <c r="M19" s="185">
        <v>19889.458333333332</v>
      </c>
      <c r="N19" s="185">
        <v>14175.166666666668</v>
      </c>
      <c r="O19" s="185">
        <v>42988.915000000001</v>
      </c>
      <c r="P19" s="185">
        <v>45333.333333333336</v>
      </c>
      <c r="Q19" s="185">
        <v>25000</v>
      </c>
      <c r="R19" s="185">
        <v>8333.3333333333339</v>
      </c>
      <c r="S19" s="185">
        <f t="shared" si="14"/>
        <v>352387.27833333326</v>
      </c>
      <c r="U19" s="185">
        <f t="shared" si="21"/>
        <v>4527.3066666666664</v>
      </c>
      <c r="V19" s="185">
        <f t="shared" si="21"/>
        <v>15839.546666666667</v>
      </c>
      <c r="W19" s="185">
        <f t="shared" si="21"/>
        <v>50316.169999999991</v>
      </c>
      <c r="X19" s="185">
        <f t="shared" si="21"/>
        <v>33148.53</v>
      </c>
      <c r="Y19" s="185">
        <f t="shared" si="21"/>
        <v>47720.746666666673</v>
      </c>
      <c r="Z19" s="185">
        <f t="shared" si="21"/>
        <v>45114.771666666667</v>
      </c>
      <c r="AA19" s="185">
        <f t="shared" si="21"/>
        <v>19889.458333333332</v>
      </c>
      <c r="AB19" s="185">
        <f t="shared" si="21"/>
        <v>14175.166666666668</v>
      </c>
      <c r="AC19" s="185">
        <f t="shared" si="21"/>
        <v>42988.915000000001</v>
      </c>
      <c r="AD19" s="185">
        <f t="shared" si="21"/>
        <v>45333.333333333336</v>
      </c>
      <c r="AE19" s="185">
        <f t="shared" si="21"/>
        <v>25000</v>
      </c>
      <c r="AF19" s="185">
        <f t="shared" si="21"/>
        <v>8333.3333333333339</v>
      </c>
      <c r="AG19" s="185">
        <f t="shared" si="12"/>
        <v>352387.27833333326</v>
      </c>
      <c r="AH19" s="185">
        <f t="shared" si="16"/>
        <v>352387.27833333326</v>
      </c>
      <c r="AJ19" s="483">
        <v>1</v>
      </c>
    </row>
    <row r="20" spans="1:36" s="134" customFormat="1" ht="12.75">
      <c r="A20" s="132">
        <v>717</v>
      </c>
      <c r="B20" s="186" t="s">
        <v>517</v>
      </c>
      <c r="F20" s="132"/>
      <c r="G20" s="185">
        <v>0</v>
      </c>
      <c r="H20" s="185">
        <v>160.5</v>
      </c>
      <c r="I20" s="185">
        <v>87.5</v>
      </c>
      <c r="J20" s="185">
        <v>166.85999999999999</v>
      </c>
      <c r="K20" s="185">
        <v>238</v>
      </c>
      <c r="L20" s="185">
        <v>325.33333333333331</v>
      </c>
      <c r="M20" s="185">
        <v>2187.6633333333334</v>
      </c>
      <c r="N20" s="185">
        <v>454.39333333333326</v>
      </c>
      <c r="O20" s="185">
        <v>405.94</v>
      </c>
      <c r="P20" s="185">
        <v>360</v>
      </c>
      <c r="Q20" s="185">
        <v>333.33333333333331</v>
      </c>
      <c r="R20" s="185">
        <v>333.33333333333331</v>
      </c>
      <c r="S20" s="185">
        <f t="shared" si="14"/>
        <v>5052.8566666666666</v>
      </c>
      <c r="U20" s="185">
        <f t="shared" si="21"/>
        <v>0</v>
      </c>
      <c r="V20" s="185">
        <f t="shared" si="21"/>
        <v>160.5</v>
      </c>
      <c r="W20" s="185">
        <f t="shared" si="21"/>
        <v>87.5</v>
      </c>
      <c r="X20" s="185">
        <f t="shared" si="21"/>
        <v>166.85999999999999</v>
      </c>
      <c r="Y20" s="185">
        <f t="shared" si="21"/>
        <v>238</v>
      </c>
      <c r="Z20" s="185">
        <f t="shared" si="21"/>
        <v>325.33333333333331</v>
      </c>
      <c r="AA20" s="185">
        <f t="shared" si="21"/>
        <v>2187.6633333333334</v>
      </c>
      <c r="AB20" s="185">
        <f t="shared" si="21"/>
        <v>454.39333333333326</v>
      </c>
      <c r="AC20" s="185">
        <f t="shared" si="21"/>
        <v>405.94</v>
      </c>
      <c r="AD20" s="185">
        <f t="shared" si="21"/>
        <v>360</v>
      </c>
      <c r="AE20" s="185">
        <f t="shared" si="21"/>
        <v>333.33333333333331</v>
      </c>
      <c r="AF20" s="185">
        <f t="shared" si="21"/>
        <v>333.33333333333331</v>
      </c>
      <c r="AG20" s="185">
        <f t="shared" si="12"/>
        <v>5052.8566666666666</v>
      </c>
      <c r="AH20" s="185">
        <f t="shared" si="16"/>
        <v>5052.8566666666666</v>
      </c>
      <c r="AJ20" s="483">
        <v>1</v>
      </c>
    </row>
    <row r="21" spans="1:36" s="134" customFormat="1" ht="12.75">
      <c r="A21" s="132">
        <v>719</v>
      </c>
      <c r="B21" s="186" t="s">
        <v>518</v>
      </c>
      <c r="F21" s="132"/>
      <c r="G21" s="185">
        <v>0</v>
      </c>
      <c r="H21" s="185">
        <v>3553.8466666666668</v>
      </c>
      <c r="I21" s="185">
        <v>7525.8433333333332</v>
      </c>
      <c r="J21" s="185">
        <v>8129.53</v>
      </c>
      <c r="K21" s="185">
        <v>24413.040000000005</v>
      </c>
      <c r="L21" s="185">
        <v>25409.241666666658</v>
      </c>
      <c r="M21" s="185">
        <v>9514.26</v>
      </c>
      <c r="N21" s="185">
        <v>8886.4800000000014</v>
      </c>
      <c r="O21" s="185">
        <v>12193.839999999997</v>
      </c>
      <c r="P21" s="185">
        <v>47500</v>
      </c>
      <c r="Q21" s="185">
        <v>8333.3333333333339</v>
      </c>
      <c r="R21" s="185">
        <v>8333.3333333333339</v>
      </c>
      <c r="S21" s="185">
        <f t="shared" si="14"/>
        <v>163792.74833333335</v>
      </c>
      <c r="U21" s="185">
        <f t="shared" si="21"/>
        <v>0</v>
      </c>
      <c r="V21" s="185">
        <f t="shared" si="21"/>
        <v>3553.8466666666668</v>
      </c>
      <c r="W21" s="185">
        <f t="shared" si="21"/>
        <v>7525.8433333333332</v>
      </c>
      <c r="X21" s="185">
        <f t="shared" si="21"/>
        <v>8129.53</v>
      </c>
      <c r="Y21" s="185">
        <f t="shared" si="21"/>
        <v>24413.040000000005</v>
      </c>
      <c r="Z21" s="185">
        <f t="shared" si="21"/>
        <v>25409.241666666658</v>
      </c>
      <c r="AA21" s="185">
        <f t="shared" si="21"/>
        <v>9514.26</v>
      </c>
      <c r="AB21" s="185">
        <f t="shared" si="21"/>
        <v>8886.4800000000014</v>
      </c>
      <c r="AC21" s="185">
        <f t="shared" si="21"/>
        <v>12193.839999999997</v>
      </c>
      <c r="AD21" s="185">
        <f t="shared" si="21"/>
        <v>47500</v>
      </c>
      <c r="AE21" s="185">
        <f t="shared" si="21"/>
        <v>8333.3333333333339</v>
      </c>
      <c r="AF21" s="185">
        <f t="shared" si="21"/>
        <v>8333.3333333333339</v>
      </c>
      <c r="AG21" s="185">
        <f t="shared" si="12"/>
        <v>163792.74833333335</v>
      </c>
      <c r="AH21" s="185">
        <f t="shared" si="16"/>
        <v>163792.74833333335</v>
      </c>
      <c r="AJ21" s="483">
        <v>1</v>
      </c>
    </row>
    <row r="22" spans="1:36" s="134" customFormat="1" ht="12.75">
      <c r="A22" s="132">
        <v>720</v>
      </c>
      <c r="B22" s="186" t="s">
        <v>519</v>
      </c>
      <c r="F22" s="132"/>
      <c r="G22" s="185">
        <v>0</v>
      </c>
      <c r="H22" s="185">
        <v>0</v>
      </c>
      <c r="I22" s="185">
        <v>0</v>
      </c>
      <c r="J22" s="185">
        <v>0</v>
      </c>
      <c r="K22" s="185">
        <v>10406.458333333334</v>
      </c>
      <c r="L22" s="185">
        <v>865.50000000000011</v>
      </c>
      <c r="M22" s="185">
        <v>761.63999999999987</v>
      </c>
      <c r="N22" s="185">
        <v>0</v>
      </c>
      <c r="O22" s="185">
        <v>761.63999999999987</v>
      </c>
      <c r="P22" s="185">
        <v>0</v>
      </c>
      <c r="Q22" s="185">
        <v>0</v>
      </c>
      <c r="R22" s="185">
        <v>0</v>
      </c>
      <c r="S22" s="185">
        <f t="shared" si="14"/>
        <v>12795.238333333333</v>
      </c>
      <c r="U22" s="185">
        <f t="shared" si="21"/>
        <v>0</v>
      </c>
      <c r="V22" s="185">
        <f t="shared" si="21"/>
        <v>0</v>
      </c>
      <c r="W22" s="185">
        <f t="shared" si="21"/>
        <v>0</v>
      </c>
      <c r="X22" s="185">
        <f t="shared" si="21"/>
        <v>0</v>
      </c>
      <c r="Y22" s="185">
        <f t="shared" si="21"/>
        <v>10406.458333333334</v>
      </c>
      <c r="Z22" s="185">
        <f t="shared" si="21"/>
        <v>865.50000000000011</v>
      </c>
      <c r="AA22" s="185">
        <f t="shared" si="21"/>
        <v>761.63999999999987</v>
      </c>
      <c r="AB22" s="185">
        <f t="shared" si="21"/>
        <v>0</v>
      </c>
      <c r="AC22" s="185">
        <f t="shared" si="21"/>
        <v>761.63999999999987</v>
      </c>
      <c r="AD22" s="185">
        <f t="shared" si="21"/>
        <v>0</v>
      </c>
      <c r="AE22" s="185">
        <f t="shared" si="21"/>
        <v>0</v>
      </c>
      <c r="AF22" s="185">
        <f t="shared" si="21"/>
        <v>0</v>
      </c>
      <c r="AG22" s="185">
        <f t="shared" si="12"/>
        <v>12795.238333333333</v>
      </c>
      <c r="AH22" s="185">
        <f t="shared" si="16"/>
        <v>12795.238333333333</v>
      </c>
      <c r="AJ22" s="483">
        <v>1</v>
      </c>
    </row>
    <row r="23" spans="1:36" s="134" customFormat="1" ht="12.75">
      <c r="A23" s="132">
        <v>716</v>
      </c>
      <c r="B23" s="186" t="s">
        <v>520</v>
      </c>
      <c r="F23" s="132"/>
      <c r="G23" s="185">
        <v>0</v>
      </c>
      <c r="H23" s="185">
        <v>0</v>
      </c>
      <c r="I23" s="185">
        <v>43615</v>
      </c>
      <c r="J23" s="185">
        <v>0</v>
      </c>
      <c r="K23" s="185">
        <v>0</v>
      </c>
      <c r="L23" s="185">
        <v>16663</v>
      </c>
      <c r="M23" s="185">
        <v>0</v>
      </c>
      <c r="N23" s="185">
        <v>20745.768333333333</v>
      </c>
      <c r="O23" s="185">
        <v>0</v>
      </c>
      <c r="P23" s="185">
        <v>0</v>
      </c>
      <c r="Q23" s="185">
        <v>15999.999999999998</v>
      </c>
      <c r="R23" s="185">
        <v>0</v>
      </c>
      <c r="S23" s="185">
        <f t="shared" si="14"/>
        <v>97023.768333333341</v>
      </c>
      <c r="U23" s="185">
        <f t="shared" si="21"/>
        <v>0</v>
      </c>
      <c r="V23" s="185">
        <f t="shared" si="21"/>
        <v>0</v>
      </c>
      <c r="W23" s="185">
        <f t="shared" si="21"/>
        <v>43615</v>
      </c>
      <c r="X23" s="185">
        <f t="shared" si="21"/>
        <v>0</v>
      </c>
      <c r="Y23" s="185">
        <f t="shared" si="21"/>
        <v>0</v>
      </c>
      <c r="Z23" s="185">
        <f t="shared" si="21"/>
        <v>16663</v>
      </c>
      <c r="AA23" s="185">
        <f t="shared" si="21"/>
        <v>0</v>
      </c>
      <c r="AB23" s="185">
        <f t="shared" si="21"/>
        <v>20745.768333333333</v>
      </c>
      <c r="AC23" s="185">
        <f t="shared" si="21"/>
        <v>0</v>
      </c>
      <c r="AD23" s="185">
        <f t="shared" si="21"/>
        <v>0</v>
      </c>
      <c r="AE23" s="185">
        <f t="shared" si="21"/>
        <v>15999.999999999998</v>
      </c>
      <c r="AF23" s="185">
        <f t="shared" si="21"/>
        <v>0</v>
      </c>
      <c r="AG23" s="185">
        <f t="shared" si="12"/>
        <v>97023.768333333341</v>
      </c>
      <c r="AH23" s="185">
        <f t="shared" si="16"/>
        <v>97023.768333333341</v>
      </c>
      <c r="AJ23" s="483">
        <v>1</v>
      </c>
    </row>
    <row r="24" spans="1:36">
      <c r="A24" s="132">
        <v>714</v>
      </c>
      <c r="B24" s="186" t="s">
        <v>521</v>
      </c>
      <c r="C24" s="134"/>
      <c r="D24" s="134"/>
      <c r="E24" s="134"/>
      <c r="G24" s="185">
        <v>0</v>
      </c>
      <c r="H24" s="185">
        <v>0</v>
      </c>
      <c r="I24" s="185">
        <v>5655</v>
      </c>
      <c r="J24" s="185">
        <v>0</v>
      </c>
      <c r="K24" s="185">
        <v>0</v>
      </c>
      <c r="L24" s="185">
        <v>0</v>
      </c>
      <c r="M24" s="185">
        <v>0</v>
      </c>
      <c r="N24" s="185">
        <v>27480.299999999996</v>
      </c>
      <c r="O24" s="185">
        <v>0</v>
      </c>
      <c r="P24" s="185">
        <v>0</v>
      </c>
      <c r="Q24" s="185">
        <v>0</v>
      </c>
      <c r="R24" s="185">
        <v>0</v>
      </c>
      <c r="S24" s="185">
        <f t="shared" si="14"/>
        <v>33135.299999999996</v>
      </c>
      <c r="U24" s="185">
        <f t="shared" si="21"/>
        <v>0</v>
      </c>
      <c r="V24" s="185">
        <f t="shared" si="21"/>
        <v>0</v>
      </c>
      <c r="W24" s="185">
        <f t="shared" si="21"/>
        <v>5655</v>
      </c>
      <c r="X24" s="185">
        <f t="shared" si="21"/>
        <v>0</v>
      </c>
      <c r="Y24" s="185">
        <f t="shared" si="21"/>
        <v>0</v>
      </c>
      <c r="Z24" s="185">
        <f t="shared" si="21"/>
        <v>0</v>
      </c>
      <c r="AA24" s="185">
        <f t="shared" si="21"/>
        <v>0</v>
      </c>
      <c r="AB24" s="185">
        <f t="shared" si="21"/>
        <v>27480.299999999996</v>
      </c>
      <c r="AC24" s="185">
        <f t="shared" si="21"/>
        <v>0</v>
      </c>
      <c r="AD24" s="185">
        <f t="shared" si="21"/>
        <v>0</v>
      </c>
      <c r="AE24" s="185">
        <f t="shared" si="21"/>
        <v>0</v>
      </c>
      <c r="AF24" s="185">
        <f t="shared" si="21"/>
        <v>0</v>
      </c>
      <c r="AG24" s="185">
        <f t="shared" si="12"/>
        <v>33135.299999999996</v>
      </c>
      <c r="AH24" s="185">
        <f t="shared" si="16"/>
        <v>33135.299999999996</v>
      </c>
      <c r="AJ24" s="483">
        <v>1</v>
      </c>
    </row>
    <row r="25" spans="1:36">
      <c r="A25" s="133">
        <v>8</v>
      </c>
      <c r="B25" s="183" t="s">
        <v>522</v>
      </c>
      <c r="C25" s="134"/>
      <c r="D25" s="134"/>
      <c r="E25" s="134"/>
      <c r="G25" s="184">
        <f t="shared" ref="G25:R25" si="22">SUM(G26)</f>
        <v>0</v>
      </c>
      <c r="H25" s="184">
        <f t="shared" si="22"/>
        <v>0</v>
      </c>
      <c r="I25" s="184">
        <f t="shared" si="22"/>
        <v>0</v>
      </c>
      <c r="J25" s="184">
        <f t="shared" si="22"/>
        <v>59954.500000000007</v>
      </c>
      <c r="K25" s="184">
        <f t="shared" si="22"/>
        <v>220045.33333333331</v>
      </c>
      <c r="L25" s="184">
        <f t="shared" si="22"/>
        <v>94943</v>
      </c>
      <c r="M25" s="184">
        <f t="shared" si="22"/>
        <v>63295.333333333336</v>
      </c>
      <c r="N25" s="184">
        <f t="shared" si="22"/>
        <v>62693.666666666657</v>
      </c>
      <c r="O25" s="184">
        <f t="shared" si="22"/>
        <v>161455.66666666666</v>
      </c>
      <c r="P25" s="184">
        <f t="shared" si="22"/>
        <v>41000</v>
      </c>
      <c r="Q25" s="184">
        <f t="shared" si="22"/>
        <v>0</v>
      </c>
      <c r="R25" s="184">
        <f t="shared" si="22"/>
        <v>0</v>
      </c>
      <c r="S25" s="184">
        <f t="shared" ref="S25" si="23">SUM(S26)</f>
        <v>703387.49999999988</v>
      </c>
      <c r="U25" s="184">
        <f t="shared" ref="U25:AF25" si="24">SUM(U26)</f>
        <v>0</v>
      </c>
      <c r="V25" s="184">
        <f t="shared" si="24"/>
        <v>0</v>
      </c>
      <c r="W25" s="184">
        <f t="shared" si="24"/>
        <v>0</v>
      </c>
      <c r="X25" s="184">
        <f t="shared" si="24"/>
        <v>59954.500000000007</v>
      </c>
      <c r="Y25" s="184">
        <f t="shared" si="24"/>
        <v>359727</v>
      </c>
      <c r="Z25" s="184">
        <f t="shared" si="24"/>
        <v>94943</v>
      </c>
      <c r="AA25" s="184">
        <f t="shared" si="24"/>
        <v>63295.333333333336</v>
      </c>
      <c r="AB25" s="184">
        <f t="shared" si="24"/>
        <v>62693.666666666657</v>
      </c>
      <c r="AC25" s="184">
        <f t="shared" si="24"/>
        <v>161455.66666666666</v>
      </c>
      <c r="AD25" s="184">
        <f t="shared" si="24"/>
        <v>41000</v>
      </c>
      <c r="AE25" s="184">
        <f t="shared" si="24"/>
        <v>0</v>
      </c>
      <c r="AF25" s="184">
        <f t="shared" si="24"/>
        <v>0</v>
      </c>
      <c r="AG25" s="184">
        <f t="shared" si="12"/>
        <v>843069.16666666663</v>
      </c>
      <c r="AH25" s="184">
        <f t="shared" ref="AH25" si="25">SUM(AH26)</f>
        <v>703387.49999999988</v>
      </c>
      <c r="AJ25" s="483">
        <v>1</v>
      </c>
    </row>
    <row r="26" spans="1:36" ht="15.75" thickBot="1">
      <c r="A26" s="132">
        <v>811</v>
      </c>
      <c r="B26" s="186" t="s">
        <v>523</v>
      </c>
      <c r="C26" s="134"/>
      <c r="D26" s="134"/>
      <c r="E26" s="134"/>
      <c r="G26" s="185">
        <v>0</v>
      </c>
      <c r="H26" s="185">
        <v>0</v>
      </c>
      <c r="I26" s="185">
        <v>0</v>
      </c>
      <c r="J26" s="185">
        <v>59954.500000000007</v>
      </c>
      <c r="K26" s="185">
        <v>220045.33333333331</v>
      </c>
      <c r="L26" s="185">
        <v>94943</v>
      </c>
      <c r="M26" s="185">
        <v>63295.333333333336</v>
      </c>
      <c r="N26" s="185">
        <v>62693.666666666657</v>
      </c>
      <c r="O26" s="185">
        <v>161455.66666666666</v>
      </c>
      <c r="P26" s="185">
        <v>41000</v>
      </c>
      <c r="Q26" s="185">
        <v>0</v>
      </c>
      <c r="R26" s="185">
        <v>0</v>
      </c>
      <c r="S26" s="185">
        <f t="shared" si="14"/>
        <v>703387.49999999988</v>
      </c>
      <c r="U26" s="185">
        <f>$AJ26*G26</f>
        <v>0</v>
      </c>
      <c r="V26" s="185">
        <f t="shared" ref="V26:X26" si="26">$AJ26*H26</f>
        <v>0</v>
      </c>
      <c r="W26" s="185">
        <f t="shared" si="26"/>
        <v>0</v>
      </c>
      <c r="X26" s="185">
        <f t="shared" si="26"/>
        <v>59954.500000000007</v>
      </c>
      <c r="Y26" s="185">
        <v>359727</v>
      </c>
      <c r="Z26" s="185">
        <f t="shared" ref="Z26:AF26" si="27">$AJ26*L26</f>
        <v>94943</v>
      </c>
      <c r="AA26" s="185">
        <f t="shared" si="27"/>
        <v>63295.333333333336</v>
      </c>
      <c r="AB26" s="185">
        <f t="shared" si="27"/>
        <v>62693.666666666657</v>
      </c>
      <c r="AC26" s="185">
        <f t="shared" si="27"/>
        <v>161455.66666666666</v>
      </c>
      <c r="AD26" s="185">
        <f t="shared" si="27"/>
        <v>41000</v>
      </c>
      <c r="AE26" s="185">
        <f t="shared" si="27"/>
        <v>0</v>
      </c>
      <c r="AF26" s="185">
        <f t="shared" si="27"/>
        <v>0</v>
      </c>
      <c r="AG26" s="185">
        <f t="shared" si="12"/>
        <v>843069.16666666663</v>
      </c>
      <c r="AH26" s="185">
        <f t="shared" si="16"/>
        <v>703387.49999999988</v>
      </c>
      <c r="AJ26" s="483">
        <v>1</v>
      </c>
    </row>
    <row r="27" spans="1:36" ht="15.75" thickTop="1">
      <c r="A27" s="132"/>
      <c r="B27" s="187" t="s">
        <v>176</v>
      </c>
      <c r="C27" s="134"/>
      <c r="D27" s="134"/>
      <c r="E27" s="134"/>
      <c r="G27" s="188">
        <f t="shared" ref="G27" si="28">SUM(G12,G16,G25)</f>
        <v>82746.666666666672</v>
      </c>
      <c r="H27" s="188">
        <f t="shared" ref="H27:R27" si="29">SUM(H12,H16,H25)</f>
        <v>99373.426649999979</v>
      </c>
      <c r="I27" s="188">
        <f t="shared" si="29"/>
        <v>342182.70664999995</v>
      </c>
      <c r="J27" s="188">
        <f t="shared" si="29"/>
        <v>466115.17481666675</v>
      </c>
      <c r="K27" s="188">
        <f t="shared" si="29"/>
        <v>645236.91166666639</v>
      </c>
      <c r="L27" s="188">
        <f t="shared" si="29"/>
        <v>492328.67666666704</v>
      </c>
      <c r="M27" s="188">
        <f t="shared" si="29"/>
        <v>481246.48833333328</v>
      </c>
      <c r="N27" s="188">
        <f t="shared" si="29"/>
        <v>529619.22833333281</v>
      </c>
      <c r="O27" s="188">
        <f t="shared" si="29"/>
        <v>387142.58666666655</v>
      </c>
      <c r="P27" s="188">
        <f t="shared" si="29"/>
        <v>333599.01333333307</v>
      </c>
      <c r="Q27" s="188">
        <f t="shared" si="29"/>
        <v>163322.10499999986</v>
      </c>
      <c r="R27" s="188">
        <f t="shared" si="29"/>
        <v>73136.491666667178</v>
      </c>
      <c r="S27" s="467">
        <f t="shared" si="14"/>
        <v>4096049.4764499995</v>
      </c>
      <c r="U27" s="188">
        <f t="shared" ref="U27:AF27" si="30">SUM(U12,U16,U25)</f>
        <v>82746.666666666672</v>
      </c>
      <c r="V27" s="188">
        <f t="shared" si="30"/>
        <v>99373.426649999979</v>
      </c>
      <c r="W27" s="188">
        <f t="shared" si="30"/>
        <v>342182.70664999995</v>
      </c>
      <c r="X27" s="188">
        <f t="shared" si="30"/>
        <v>466115.17481666675</v>
      </c>
      <c r="Y27" s="188">
        <f t="shared" si="30"/>
        <v>784918.57833333302</v>
      </c>
      <c r="Z27" s="188">
        <f t="shared" si="30"/>
        <v>492328.67666666704</v>
      </c>
      <c r="AA27" s="188">
        <f t="shared" si="30"/>
        <v>481246.48833333328</v>
      </c>
      <c r="AB27" s="188">
        <f t="shared" si="30"/>
        <v>529619.22833333281</v>
      </c>
      <c r="AC27" s="188">
        <f t="shared" si="30"/>
        <v>387142.58666666655</v>
      </c>
      <c r="AD27" s="188">
        <f t="shared" si="30"/>
        <v>333599.01333333307</v>
      </c>
      <c r="AE27" s="188">
        <f t="shared" si="30"/>
        <v>163322.10499999986</v>
      </c>
      <c r="AF27" s="188">
        <f t="shared" si="30"/>
        <v>73136.491666667178</v>
      </c>
      <c r="AG27" s="188">
        <f t="shared" si="12"/>
        <v>4235731.1431166669</v>
      </c>
      <c r="AH27" s="188">
        <f t="shared" ref="AH27" si="31">SUM(AH12,AH16,AH25)</f>
        <v>4096049.4764499995</v>
      </c>
      <c r="AJ27" s="152"/>
    </row>
    <row r="28" spans="1:36" ht="15.75" thickBot="1">
      <c r="A28" s="132">
        <v>812</v>
      </c>
      <c r="B28" s="189" t="s">
        <v>179</v>
      </c>
      <c r="C28" s="134"/>
      <c r="D28" s="134"/>
      <c r="E28" s="134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1">
        <f t="shared" si="14"/>
        <v>0</v>
      </c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>
        <f t="shared" si="12"/>
        <v>0</v>
      </c>
      <c r="AH28" s="191"/>
      <c r="AJ28" s="152"/>
    </row>
    <row r="29" spans="1:36" ht="15.75" thickTop="1">
      <c r="A29" s="132"/>
      <c r="B29" s="187" t="s">
        <v>178</v>
      </c>
      <c r="C29" s="134"/>
      <c r="D29" s="134"/>
      <c r="E29" s="134"/>
      <c r="G29" s="188">
        <f>G27+G28</f>
        <v>82746.666666666672</v>
      </c>
      <c r="H29" s="188">
        <f t="shared" ref="H29:R29" si="32">H27+H28</f>
        <v>99373.426649999979</v>
      </c>
      <c r="I29" s="188">
        <f t="shared" si="32"/>
        <v>342182.70664999995</v>
      </c>
      <c r="J29" s="188">
        <f t="shared" si="32"/>
        <v>466115.17481666675</v>
      </c>
      <c r="K29" s="188">
        <f t="shared" si="32"/>
        <v>645236.91166666639</v>
      </c>
      <c r="L29" s="188">
        <f t="shared" si="32"/>
        <v>492328.67666666704</v>
      </c>
      <c r="M29" s="188">
        <f t="shared" si="32"/>
        <v>481246.48833333328</v>
      </c>
      <c r="N29" s="188">
        <f t="shared" si="32"/>
        <v>529619.22833333281</v>
      </c>
      <c r="O29" s="188">
        <f t="shared" si="32"/>
        <v>387142.58666666655</v>
      </c>
      <c r="P29" s="188">
        <f t="shared" si="32"/>
        <v>333599.01333333307</v>
      </c>
      <c r="Q29" s="188">
        <f t="shared" si="32"/>
        <v>163322.10499999986</v>
      </c>
      <c r="R29" s="188">
        <f t="shared" si="32"/>
        <v>73136.491666667178</v>
      </c>
      <c r="S29" s="188">
        <f t="shared" si="14"/>
        <v>4096049.4764499995</v>
      </c>
      <c r="U29" s="188">
        <f t="shared" ref="U29:AF29" si="33">U27+U28</f>
        <v>82746.666666666672</v>
      </c>
      <c r="V29" s="188">
        <f t="shared" si="33"/>
        <v>99373.426649999979</v>
      </c>
      <c r="W29" s="188">
        <f t="shared" si="33"/>
        <v>342182.70664999995</v>
      </c>
      <c r="X29" s="188">
        <f t="shared" si="33"/>
        <v>466115.17481666675</v>
      </c>
      <c r="Y29" s="188">
        <f t="shared" si="33"/>
        <v>784918.57833333302</v>
      </c>
      <c r="Z29" s="188">
        <f t="shared" si="33"/>
        <v>492328.67666666704</v>
      </c>
      <c r="AA29" s="188">
        <f t="shared" si="33"/>
        <v>481246.48833333328</v>
      </c>
      <c r="AB29" s="188">
        <f t="shared" si="33"/>
        <v>529619.22833333281</v>
      </c>
      <c r="AC29" s="188">
        <f t="shared" si="33"/>
        <v>387142.58666666655</v>
      </c>
      <c r="AD29" s="188">
        <f t="shared" si="33"/>
        <v>333599.01333333307</v>
      </c>
      <c r="AE29" s="188">
        <f t="shared" si="33"/>
        <v>163322.10499999986</v>
      </c>
      <c r="AF29" s="188">
        <f t="shared" si="33"/>
        <v>73136.491666667178</v>
      </c>
      <c r="AG29" s="188">
        <f t="shared" si="12"/>
        <v>4235731.1431166669</v>
      </c>
      <c r="AH29" s="188">
        <f t="shared" ref="AH29" si="34">AH27+AH28</f>
        <v>4096049.4764499995</v>
      </c>
    </row>
    <row r="30" spans="1:36">
      <c r="C30" s="134"/>
      <c r="D30" s="134"/>
      <c r="E30" s="134"/>
      <c r="J30" s="107">
        <f>J5-J29</f>
        <v>0</v>
      </c>
      <c r="K30" s="107">
        <f t="shared" ref="K30:S30" si="35">K5-K29</f>
        <v>0</v>
      </c>
      <c r="L30" s="107">
        <f t="shared" si="35"/>
        <v>0</v>
      </c>
      <c r="M30" s="107">
        <f t="shared" si="35"/>
        <v>0</v>
      </c>
      <c r="N30" s="107">
        <f t="shared" si="35"/>
        <v>0</v>
      </c>
      <c r="O30" s="107">
        <f t="shared" si="35"/>
        <v>0</v>
      </c>
      <c r="P30" s="107">
        <f t="shared" si="35"/>
        <v>0</v>
      </c>
      <c r="Q30" s="107">
        <f t="shared" si="35"/>
        <v>0</v>
      </c>
      <c r="R30" s="107">
        <f t="shared" si="35"/>
        <v>0</v>
      </c>
      <c r="S30" s="107">
        <f t="shared" si="35"/>
        <v>0</v>
      </c>
    </row>
  </sheetData>
  <pageMargins left="0.35433070866141736" right="0.35433070866141736" top="0.98425196850393704" bottom="0.59055118110236227" header="0.51181102362204722" footer="0.51181102362204722"/>
  <pageSetup paperSize="9" scale="66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K96"/>
  <sheetViews>
    <sheetView showGridLines="0" zoomScale="120" zoomScaleNormal="120" zoomScalePageLayoutView="120" workbookViewId="0">
      <pane xSplit="2" ySplit="4" topLeftCell="E5" activePane="bottomRight" state="frozen"/>
      <selection activeCell="D23" sqref="D23"/>
      <selection pane="topRight" activeCell="D23" sqref="D23"/>
      <selection pane="bottomLeft" activeCell="D23" sqref="D23"/>
      <selection pane="bottomRight" activeCell="AH12" sqref="AH12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customWidth="1" outlineLevel="1"/>
    <col min="6" max="6" width="1.42578125" customWidth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1.140625" style="45" hidden="1" customWidth="1" outlineLevel="1"/>
    <col min="33" max="33" width="14.42578125" style="45" customWidth="1" collapsed="1"/>
    <col min="34" max="34" width="10.85546875" style="45"/>
    <col min="35" max="35" width="13.42578125" style="45" customWidth="1"/>
    <col min="36" max="16384" width="10.85546875" style="45"/>
  </cols>
  <sheetData>
    <row r="1" spans="1:37" s="88" customFormat="1">
      <c r="A1" s="36"/>
      <c r="B1" s="37" t="s">
        <v>77</v>
      </c>
      <c r="G1" s="312">
        <v>68</v>
      </c>
      <c r="H1" s="312">
        <v>69</v>
      </c>
      <c r="I1" s="312">
        <v>70</v>
      </c>
      <c r="J1" s="312">
        <v>71</v>
      </c>
      <c r="K1" s="312">
        <v>72</v>
      </c>
      <c r="L1" s="312">
        <v>73</v>
      </c>
      <c r="M1" s="312">
        <v>74</v>
      </c>
      <c r="N1" s="312">
        <v>75</v>
      </c>
      <c r="O1" s="312">
        <v>76</v>
      </c>
      <c r="P1" s="312">
        <v>77</v>
      </c>
      <c r="Q1" s="312">
        <v>78</v>
      </c>
      <c r="R1" s="312">
        <v>79</v>
      </c>
    </row>
    <row r="2" spans="1:37" s="90" customFormat="1">
      <c r="A2" s="36"/>
      <c r="B2" s="37"/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114">
        <v>43009</v>
      </c>
      <c r="Q2" s="114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7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115" t="s">
        <v>130</v>
      </c>
      <c r="Q3" s="115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7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116" t="s">
        <v>79</v>
      </c>
      <c r="Q4" s="116" t="s">
        <v>79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7" s="96" customFormat="1">
      <c r="A5" s="42">
        <v>1400</v>
      </c>
      <c r="B5" s="43" t="s">
        <v>469</v>
      </c>
      <c r="C5" s="41">
        <f>'PLAN 2018'!C8</f>
        <v>680610.0033333333</v>
      </c>
      <c r="D5" s="41">
        <f>'PLAN 2018'!D8</f>
        <v>638828.23666666669</v>
      </c>
      <c r="E5" s="41">
        <f>'PLAN 2018'!E8</f>
        <v>605168.72166666656</v>
      </c>
      <c r="G5" s="41">
        <f>G20</f>
        <v>27201.07583265</v>
      </c>
      <c r="H5" s="41">
        <f t="shared" ref="H5:R5" si="0">H20</f>
        <v>20560.858333333337</v>
      </c>
      <c r="I5" s="41">
        <f t="shared" si="0"/>
        <v>60355.245837691677</v>
      </c>
      <c r="J5" s="41">
        <f t="shared" si="0"/>
        <v>71795.214578991683</v>
      </c>
      <c r="K5" s="41">
        <f t="shared" si="0"/>
        <v>93494.560862965009</v>
      </c>
      <c r="L5" s="41">
        <f t="shared" si="0"/>
        <v>78583.325762038352</v>
      </c>
      <c r="M5" s="41">
        <f t="shared" si="0"/>
        <v>91504.142974198359</v>
      </c>
      <c r="N5" s="41">
        <f t="shared" si="0"/>
        <v>111467.81084347169</v>
      </c>
      <c r="O5" s="41">
        <f t="shared" si="0"/>
        <v>105571.53682283332</v>
      </c>
      <c r="P5" s="41">
        <f t="shared" si="0"/>
        <v>106636</v>
      </c>
      <c r="Q5" s="41">
        <f t="shared" si="0"/>
        <v>53524.450000000012</v>
      </c>
      <c r="R5" s="41">
        <f t="shared" si="0"/>
        <v>49131.075000000004</v>
      </c>
      <c r="S5" s="41">
        <f>SUM(G5:R5)</f>
        <v>869825.29684817349</v>
      </c>
      <c r="U5" s="41">
        <f t="shared" ref="U5:AF5" si="1">U20</f>
        <v>27201.07583265</v>
      </c>
      <c r="V5" s="41">
        <f t="shared" si="1"/>
        <v>20560.858333333337</v>
      </c>
      <c r="W5" s="41">
        <f t="shared" si="1"/>
        <v>60355.245837691677</v>
      </c>
      <c r="X5" s="41">
        <f t="shared" si="1"/>
        <v>71795.214578991683</v>
      </c>
      <c r="Y5" s="41">
        <f t="shared" si="1"/>
        <v>93494.560862965009</v>
      </c>
      <c r="Z5" s="41">
        <f t="shared" si="1"/>
        <v>78583.325762038352</v>
      </c>
      <c r="AA5" s="41">
        <f t="shared" si="1"/>
        <v>91504.142974198359</v>
      </c>
      <c r="AB5" s="41">
        <f t="shared" si="1"/>
        <v>111467.81084347169</v>
      </c>
      <c r="AC5" s="41">
        <f t="shared" si="1"/>
        <v>105571.53682283332</v>
      </c>
      <c r="AD5" s="41">
        <f t="shared" si="1"/>
        <v>106636</v>
      </c>
      <c r="AE5" s="41">
        <f t="shared" si="1"/>
        <v>53524.450000000012</v>
      </c>
      <c r="AF5" s="41">
        <f t="shared" si="1"/>
        <v>49131.075000000004</v>
      </c>
      <c r="AG5" s="41">
        <f>SUM(U5:AF5)</f>
        <v>869825.29684817349</v>
      </c>
      <c r="AJ5" s="152"/>
    </row>
    <row r="6" spans="1:37" s="96" customFormat="1" outlineLevel="1">
      <c r="A6" s="48">
        <v>2400</v>
      </c>
      <c r="B6" s="49" t="s">
        <v>470</v>
      </c>
      <c r="C6" s="41">
        <f>'PLAN 2018'!C20</f>
        <v>572400.20000000007</v>
      </c>
      <c r="D6" s="41">
        <f>'PLAN 2018'!D20</f>
        <v>503818.33</v>
      </c>
      <c r="E6" s="41">
        <f>'PLAN 2018'!E20</f>
        <v>489853.25666666665</v>
      </c>
      <c r="G6" s="41">
        <f>0.83*G5</f>
        <v>22576.892941099501</v>
      </c>
      <c r="H6" s="41">
        <f t="shared" ref="H6:R6" si="2">0.83*H5</f>
        <v>17065.512416666668</v>
      </c>
      <c r="I6" s="41">
        <f t="shared" si="2"/>
        <v>50094.85404528409</v>
      </c>
      <c r="J6" s="41">
        <f t="shared" si="2"/>
        <v>59590.028100563097</v>
      </c>
      <c r="K6" s="41">
        <f t="shared" si="2"/>
        <v>77600.48551626096</v>
      </c>
      <c r="L6" s="41">
        <f t="shared" si="2"/>
        <v>65224.160382491827</v>
      </c>
      <c r="M6" s="41">
        <f t="shared" si="2"/>
        <v>75948.43866858464</v>
      </c>
      <c r="N6" s="41">
        <f t="shared" si="2"/>
        <v>92518.283000081501</v>
      </c>
      <c r="O6" s="41">
        <f t="shared" si="2"/>
        <v>87624.375562951653</v>
      </c>
      <c r="P6" s="41">
        <f t="shared" si="2"/>
        <v>88507.87999999999</v>
      </c>
      <c r="Q6" s="41">
        <f t="shared" si="2"/>
        <v>44425.293500000007</v>
      </c>
      <c r="R6" s="41">
        <f t="shared" si="2"/>
        <v>40778.792249999999</v>
      </c>
      <c r="S6" s="41">
        <f>SUM(G6:R6)</f>
        <v>721954.99638398387</v>
      </c>
      <c r="U6" s="41">
        <f>U5-U7</f>
        <v>22141.675727777099</v>
      </c>
      <c r="V6" s="41">
        <f t="shared" ref="V6:AF6" si="3">V5-V7</f>
        <v>16736.538683333336</v>
      </c>
      <c r="W6" s="41">
        <f t="shared" si="3"/>
        <v>49129.170111881023</v>
      </c>
      <c r="X6" s="41">
        <f t="shared" si="3"/>
        <v>58441.304667299228</v>
      </c>
      <c r="Y6" s="41">
        <f t="shared" si="3"/>
        <v>76104.572542453519</v>
      </c>
      <c r="Z6" s="41">
        <f t="shared" si="3"/>
        <v>63966.827170299221</v>
      </c>
      <c r="AA6" s="41">
        <f t="shared" si="3"/>
        <v>74484.372380997462</v>
      </c>
      <c r="AB6" s="41">
        <f t="shared" si="3"/>
        <v>90734.798026585951</v>
      </c>
      <c r="AC6" s="41">
        <f t="shared" si="3"/>
        <v>85935.230973786325</v>
      </c>
      <c r="AD6" s="41">
        <f t="shared" si="3"/>
        <v>86801.703999999998</v>
      </c>
      <c r="AE6" s="41">
        <f t="shared" si="3"/>
        <v>43568.902300000009</v>
      </c>
      <c r="AF6" s="41">
        <f t="shared" si="3"/>
        <v>39992.695050000002</v>
      </c>
      <c r="AG6" s="41">
        <f>SUM(U6:AF6)</f>
        <v>708037.79163441306</v>
      </c>
      <c r="AH6" s="137"/>
    </row>
    <row r="7" spans="1:37" s="96" customFormat="1" outlineLevel="1">
      <c r="A7" s="42">
        <v>9240</v>
      </c>
      <c r="B7" s="43" t="s">
        <v>535</v>
      </c>
      <c r="C7" s="41">
        <f>C5-C6</f>
        <v>108209.80333333323</v>
      </c>
      <c r="D7" s="41">
        <f t="shared" ref="D7:R7" si="4">D5-D6</f>
        <v>135009.90666666668</v>
      </c>
      <c r="E7" s="41">
        <f t="shared" si="4"/>
        <v>115315.46499999991</v>
      </c>
      <c r="G7" s="41">
        <f t="shared" si="4"/>
        <v>4624.1828915504993</v>
      </c>
      <c r="H7" s="41">
        <f t="shared" si="4"/>
        <v>3495.3459166666689</v>
      </c>
      <c r="I7" s="41">
        <f t="shared" si="4"/>
        <v>10260.391792407587</v>
      </c>
      <c r="J7" s="41">
        <f t="shared" si="4"/>
        <v>12205.186478428586</v>
      </c>
      <c r="K7" s="41">
        <f t="shared" si="4"/>
        <v>15894.075346704049</v>
      </c>
      <c r="L7" s="41">
        <f t="shared" si="4"/>
        <v>13359.165379546524</v>
      </c>
      <c r="M7" s="41">
        <f t="shared" si="4"/>
        <v>15555.704305613719</v>
      </c>
      <c r="N7" s="41">
        <f t="shared" si="4"/>
        <v>18949.527843390184</v>
      </c>
      <c r="O7" s="41">
        <f t="shared" si="4"/>
        <v>17947.161259881672</v>
      </c>
      <c r="P7" s="41">
        <f t="shared" si="4"/>
        <v>18128.12000000001</v>
      </c>
      <c r="Q7" s="41">
        <f t="shared" si="4"/>
        <v>9099.1565000000046</v>
      </c>
      <c r="R7" s="41">
        <f t="shared" si="4"/>
        <v>8352.2827500000058</v>
      </c>
      <c r="S7" s="41">
        <f>SUM(G7:R7)</f>
        <v>147870.30046418952</v>
      </c>
      <c r="U7" s="41">
        <f>U5*U8</f>
        <v>5059.4001048728996</v>
      </c>
      <c r="V7" s="41">
        <f t="shared" ref="V7:AF7" si="5">V5*V8</f>
        <v>3824.3196500000008</v>
      </c>
      <c r="W7" s="41">
        <f t="shared" si="5"/>
        <v>11226.075725810651</v>
      </c>
      <c r="X7" s="41">
        <f t="shared" si="5"/>
        <v>13353.909911692454</v>
      </c>
      <c r="Y7" s="41">
        <f t="shared" si="5"/>
        <v>17389.988320511493</v>
      </c>
      <c r="Z7" s="41">
        <f t="shared" si="5"/>
        <v>14616.498591739133</v>
      </c>
      <c r="AA7" s="41">
        <f t="shared" si="5"/>
        <v>17019.770593200894</v>
      </c>
      <c r="AB7" s="41">
        <f t="shared" si="5"/>
        <v>20733.012816885734</v>
      </c>
      <c r="AC7" s="41">
        <f t="shared" si="5"/>
        <v>19636.305849046999</v>
      </c>
      <c r="AD7" s="41">
        <f t="shared" si="5"/>
        <v>19834.295999999998</v>
      </c>
      <c r="AE7" s="41">
        <f t="shared" si="5"/>
        <v>9955.5477000000028</v>
      </c>
      <c r="AF7" s="41">
        <f t="shared" si="5"/>
        <v>9138.3799500000005</v>
      </c>
      <c r="AG7" s="41">
        <f>SUM(U7:AF7)</f>
        <v>161787.50521376025</v>
      </c>
    </row>
    <row r="8" spans="1:37" s="102" customFormat="1" outlineLevel="1">
      <c r="A8" s="79">
        <v>9294</v>
      </c>
      <c r="B8" s="118" t="s">
        <v>536</v>
      </c>
      <c r="C8" s="125">
        <f>C7/C5</f>
        <v>0.15898944006607077</v>
      </c>
      <c r="D8" s="125">
        <f t="shared" ref="D8:E8" si="6">D7/D5</f>
        <v>0.2113399172383692</v>
      </c>
      <c r="E8" s="125">
        <f t="shared" si="6"/>
        <v>0.19055093376672713</v>
      </c>
      <c r="G8" s="125">
        <f t="shared" ref="G8:S8" si="7">G7/G5</f>
        <v>0.16999999999999998</v>
      </c>
      <c r="H8" s="125">
        <f t="shared" si="7"/>
        <v>0.17000000000000007</v>
      </c>
      <c r="I8" s="125">
        <f t="shared" si="7"/>
        <v>0.17000000000000004</v>
      </c>
      <c r="J8" s="125">
        <f t="shared" si="7"/>
        <v>0.17</v>
      </c>
      <c r="K8" s="125">
        <f t="shared" si="7"/>
        <v>0.16999999999999996</v>
      </c>
      <c r="L8" s="125">
        <f t="shared" si="7"/>
        <v>0.17000000000000007</v>
      </c>
      <c r="M8" s="125">
        <f t="shared" si="7"/>
        <v>0.16999999999999998</v>
      </c>
      <c r="N8" s="125">
        <f t="shared" si="7"/>
        <v>0.16999999999999998</v>
      </c>
      <c r="O8" s="125">
        <f t="shared" si="7"/>
        <v>0.17000000000000007</v>
      </c>
      <c r="P8" s="125">
        <f t="shared" si="7"/>
        <v>0.1700000000000001</v>
      </c>
      <c r="Q8" s="125">
        <f t="shared" si="7"/>
        <v>0.17000000000000004</v>
      </c>
      <c r="R8" s="125">
        <f t="shared" si="7"/>
        <v>0.1700000000000001</v>
      </c>
      <c r="S8" s="136">
        <f t="shared" si="7"/>
        <v>0.17000000000000004</v>
      </c>
      <c r="U8" s="136">
        <v>0.186</v>
      </c>
      <c r="V8" s="136">
        <v>0.186</v>
      </c>
      <c r="W8" s="136">
        <v>0.186</v>
      </c>
      <c r="X8" s="136">
        <v>0.186</v>
      </c>
      <c r="Y8" s="136">
        <v>0.186</v>
      </c>
      <c r="Z8" s="136">
        <v>0.186</v>
      </c>
      <c r="AA8" s="136">
        <v>0.186</v>
      </c>
      <c r="AB8" s="136">
        <v>0.186</v>
      </c>
      <c r="AC8" s="136">
        <v>0.186</v>
      </c>
      <c r="AD8" s="136">
        <v>0.186</v>
      </c>
      <c r="AE8" s="136">
        <v>0.186</v>
      </c>
      <c r="AF8" s="136">
        <v>0.186</v>
      </c>
      <c r="AG8" s="136">
        <f t="shared" ref="AG8" si="8">AG7/AG5</f>
        <v>0.18599999999999997</v>
      </c>
      <c r="AI8" s="96"/>
      <c r="AJ8" s="96"/>
    </row>
    <row r="9" spans="1:37" s="102" customFormat="1" outlineLevel="1">
      <c r="A9" s="79"/>
      <c r="B9" s="118"/>
      <c r="C9" s="125"/>
      <c r="D9" s="125"/>
      <c r="E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36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36"/>
      <c r="AI9" s="45"/>
      <c r="AJ9" s="45"/>
    </row>
    <row r="10" spans="1:37" s="134" customFormat="1" ht="15.75" thickBot="1">
      <c r="A10" s="131" t="s">
        <v>164</v>
      </c>
      <c r="B10" s="131" t="s">
        <v>165</v>
      </c>
      <c r="F10" s="132"/>
      <c r="G10" s="134">
        <v>6</v>
      </c>
      <c r="AI10" s="45"/>
      <c r="AJ10" s="487" t="s">
        <v>585</v>
      </c>
    </row>
    <row r="11" spans="1:37" s="134" customFormat="1" ht="13.5" thickTop="1">
      <c r="A11" s="133">
        <v>9</v>
      </c>
      <c r="B11" s="183" t="s">
        <v>528</v>
      </c>
      <c r="F11" s="132"/>
      <c r="G11" s="184">
        <f>SUM(G12:G17)</f>
        <v>27201.07583265</v>
      </c>
      <c r="H11" s="184">
        <f t="shared" ref="H11:R11" si="9">SUM(H12:H17)</f>
        <v>20560.858333333337</v>
      </c>
      <c r="I11" s="184">
        <f t="shared" si="9"/>
        <v>60355.245837691677</v>
      </c>
      <c r="J11" s="184">
        <f t="shared" si="9"/>
        <v>71795.214578991683</v>
      </c>
      <c r="K11" s="184">
        <f t="shared" si="9"/>
        <v>93494.560862965009</v>
      </c>
      <c r="L11" s="184">
        <f t="shared" si="9"/>
        <v>78583.325762038352</v>
      </c>
      <c r="M11" s="184">
        <f t="shared" si="9"/>
        <v>91504.142974198359</v>
      </c>
      <c r="N11" s="184">
        <f t="shared" si="9"/>
        <v>111467.81084347169</v>
      </c>
      <c r="O11" s="184">
        <f t="shared" si="9"/>
        <v>105571.53682283332</v>
      </c>
      <c r="P11" s="184">
        <f t="shared" si="9"/>
        <v>106636</v>
      </c>
      <c r="Q11" s="184">
        <f t="shared" si="9"/>
        <v>53524.450000000012</v>
      </c>
      <c r="R11" s="184">
        <f t="shared" si="9"/>
        <v>49131.075000000004</v>
      </c>
      <c r="S11" s="184">
        <f t="shared" ref="S11:S20" si="10">SUM(G11:R11)</f>
        <v>869825.29684817349</v>
      </c>
      <c r="U11" s="184">
        <f t="shared" ref="U11:AF11" si="11">SUM(U12:U17)</f>
        <v>27201.07583265</v>
      </c>
      <c r="V11" s="184">
        <f t="shared" si="11"/>
        <v>20560.858333333337</v>
      </c>
      <c r="W11" s="184">
        <f t="shared" si="11"/>
        <v>60355.245837691677</v>
      </c>
      <c r="X11" s="184">
        <f t="shared" si="11"/>
        <v>71795.214578991683</v>
      </c>
      <c r="Y11" s="184">
        <f t="shared" si="11"/>
        <v>93494.560862965009</v>
      </c>
      <c r="Z11" s="184">
        <f t="shared" si="11"/>
        <v>78583.325762038352</v>
      </c>
      <c r="AA11" s="184">
        <f t="shared" si="11"/>
        <v>91504.142974198359</v>
      </c>
      <c r="AB11" s="184">
        <f t="shared" si="11"/>
        <v>111467.81084347169</v>
      </c>
      <c r="AC11" s="184">
        <f t="shared" si="11"/>
        <v>105571.53682283332</v>
      </c>
      <c r="AD11" s="184">
        <f t="shared" si="11"/>
        <v>106636</v>
      </c>
      <c r="AE11" s="184">
        <f t="shared" si="11"/>
        <v>53524.450000000012</v>
      </c>
      <c r="AF11" s="184">
        <f t="shared" si="11"/>
        <v>49131.075000000004</v>
      </c>
      <c r="AG11" s="184">
        <f t="shared" ref="AG11:AG20" si="12">SUM(U11:AF11)</f>
        <v>869825.29684817349</v>
      </c>
      <c r="AI11" s="185">
        <f>AJ11*S11</f>
        <v>869825.29684817349</v>
      </c>
      <c r="AJ11" s="483">
        <v>1</v>
      </c>
    </row>
    <row r="12" spans="1:37" s="140" customFormat="1">
      <c r="A12" s="132">
        <v>916</v>
      </c>
      <c r="B12" s="208" t="s">
        <v>529</v>
      </c>
      <c r="C12" s="139"/>
      <c r="D12" s="139"/>
      <c r="E12" s="139"/>
      <c r="G12" s="185">
        <v>0</v>
      </c>
      <c r="H12" s="185">
        <v>0</v>
      </c>
      <c r="I12" s="185">
        <v>1630.416666666667</v>
      </c>
      <c r="J12" s="185">
        <v>6625.0083333333341</v>
      </c>
      <c r="K12" s="185">
        <v>2473.3333333333335</v>
      </c>
      <c r="L12" s="185">
        <v>3127.36</v>
      </c>
      <c r="M12" s="185">
        <v>2200.0000000000005</v>
      </c>
      <c r="N12" s="185">
        <v>4116</v>
      </c>
      <c r="O12" s="185">
        <v>2756.6666666666665</v>
      </c>
      <c r="P12" s="185">
        <v>5925.833333333333</v>
      </c>
      <c r="Q12" s="185">
        <v>2013.1496741991461</v>
      </c>
      <c r="R12" s="185">
        <v>1847.907033688414</v>
      </c>
      <c r="S12" s="185">
        <f t="shared" si="10"/>
        <v>32715.675041220897</v>
      </c>
      <c r="U12" s="185">
        <f>G12*$AJ12</f>
        <v>0</v>
      </c>
      <c r="V12" s="185">
        <f t="shared" ref="V12:AF17" si="13">H12*$AJ12</f>
        <v>0</v>
      </c>
      <c r="W12" s="185">
        <f t="shared" si="13"/>
        <v>1630.416666666667</v>
      </c>
      <c r="X12" s="185">
        <f t="shared" si="13"/>
        <v>6625.0083333333341</v>
      </c>
      <c r="Y12" s="185">
        <f t="shared" si="13"/>
        <v>2473.3333333333335</v>
      </c>
      <c r="Z12" s="185">
        <f t="shared" si="13"/>
        <v>3127.36</v>
      </c>
      <c r="AA12" s="185">
        <f t="shared" si="13"/>
        <v>2200.0000000000005</v>
      </c>
      <c r="AB12" s="185">
        <f t="shared" si="13"/>
        <v>4116</v>
      </c>
      <c r="AC12" s="185">
        <f t="shared" si="13"/>
        <v>2756.6666666666665</v>
      </c>
      <c r="AD12" s="185">
        <f t="shared" si="13"/>
        <v>5925.833333333333</v>
      </c>
      <c r="AE12" s="185">
        <f t="shared" si="13"/>
        <v>2013.1496741991461</v>
      </c>
      <c r="AF12" s="185">
        <f t="shared" si="13"/>
        <v>1847.907033688414</v>
      </c>
      <c r="AG12" s="185">
        <f t="shared" si="12"/>
        <v>32715.675041220897</v>
      </c>
      <c r="AH12" s="172">
        <v>3.7611776939308041E-2</v>
      </c>
      <c r="AI12" s="185">
        <f t="shared" ref="AI12:AI17" si="14">AJ12*S12</f>
        <v>32715.675041220897</v>
      </c>
      <c r="AJ12" s="483">
        <v>1</v>
      </c>
      <c r="AK12" s="134"/>
    </row>
    <row r="13" spans="1:37" s="142" customFormat="1">
      <c r="A13" s="132">
        <v>911</v>
      </c>
      <c r="B13" s="208" t="s">
        <v>530</v>
      </c>
      <c r="C13" s="141"/>
      <c r="D13" s="141"/>
      <c r="E13" s="141"/>
      <c r="G13" s="185">
        <v>16753.75</v>
      </c>
      <c r="H13" s="185">
        <v>8090.0000000000009</v>
      </c>
      <c r="I13" s="185">
        <v>33266.348333333335</v>
      </c>
      <c r="J13" s="185">
        <v>16092.310000000003</v>
      </c>
      <c r="K13" s="185">
        <v>24355.317499666664</v>
      </c>
      <c r="L13" s="185">
        <v>26723.900000000009</v>
      </c>
      <c r="M13" s="185">
        <v>25262.875</v>
      </c>
      <c r="N13" s="185">
        <v>15026.341666666667</v>
      </c>
      <c r="O13" s="185">
        <v>31632.008333333331</v>
      </c>
      <c r="P13" s="185">
        <v>58803</v>
      </c>
      <c r="Q13" s="185">
        <v>17861.199522509567</v>
      </c>
      <c r="R13" s="185">
        <v>16395.122851900054</v>
      </c>
      <c r="S13" s="185">
        <f t="shared" si="10"/>
        <v>290262.17320740962</v>
      </c>
      <c r="U13" s="185">
        <f t="shared" ref="U13:U17" si="15">G13*$AJ13</f>
        <v>16753.75</v>
      </c>
      <c r="V13" s="185">
        <f t="shared" si="13"/>
        <v>8090.0000000000009</v>
      </c>
      <c r="W13" s="185">
        <f t="shared" si="13"/>
        <v>33266.348333333335</v>
      </c>
      <c r="X13" s="185">
        <f t="shared" si="13"/>
        <v>16092.310000000003</v>
      </c>
      <c r="Y13" s="185">
        <f t="shared" si="13"/>
        <v>24355.317499666664</v>
      </c>
      <c r="Z13" s="185">
        <f t="shared" si="13"/>
        <v>26723.900000000009</v>
      </c>
      <c r="AA13" s="185">
        <f t="shared" si="13"/>
        <v>25262.875</v>
      </c>
      <c r="AB13" s="185">
        <f t="shared" si="13"/>
        <v>15026.341666666667</v>
      </c>
      <c r="AC13" s="185">
        <f t="shared" si="13"/>
        <v>31632.008333333331</v>
      </c>
      <c r="AD13" s="185">
        <f t="shared" si="13"/>
        <v>58803</v>
      </c>
      <c r="AE13" s="185">
        <f t="shared" si="13"/>
        <v>17861.199522509567</v>
      </c>
      <c r="AF13" s="185">
        <f t="shared" si="13"/>
        <v>16395.122851900054</v>
      </c>
      <c r="AG13" s="185">
        <f t="shared" si="12"/>
        <v>290262.17320740962</v>
      </c>
      <c r="AH13" s="172">
        <v>0.33370169189052046</v>
      </c>
      <c r="AI13" s="185">
        <f t="shared" si="14"/>
        <v>290262.17320740962</v>
      </c>
      <c r="AJ13" s="483">
        <v>1</v>
      </c>
      <c r="AK13" s="134"/>
    </row>
    <row r="14" spans="1:37" s="145" customFormat="1">
      <c r="A14" s="132">
        <v>912</v>
      </c>
      <c r="B14" s="208" t="s">
        <v>531</v>
      </c>
      <c r="C14" s="143"/>
      <c r="D14" s="144"/>
      <c r="E14" s="144"/>
      <c r="G14" s="185">
        <v>8943.3258326499981</v>
      </c>
      <c r="H14" s="185">
        <v>7774.4833333333363</v>
      </c>
      <c r="I14" s="185">
        <v>21828.527504358335</v>
      </c>
      <c r="J14" s="185">
        <v>29487.249162325021</v>
      </c>
      <c r="K14" s="185">
        <v>56549.495510423352</v>
      </c>
      <c r="L14" s="185">
        <v>42264.522501055013</v>
      </c>
      <c r="M14" s="185">
        <v>39033.950002278354</v>
      </c>
      <c r="N14" s="185">
        <v>49574.092492918346</v>
      </c>
      <c r="O14" s="185">
        <v>38489.186666666661</v>
      </c>
      <c r="P14" s="185">
        <v>26068.666666666668</v>
      </c>
      <c r="Q14" s="185">
        <v>22326.931001584013</v>
      </c>
      <c r="R14" s="185">
        <v>20494.299737010828</v>
      </c>
      <c r="S14" s="185">
        <f t="shared" si="10"/>
        <v>362834.73041126993</v>
      </c>
      <c r="U14" s="185">
        <f t="shared" si="15"/>
        <v>8943.3258326499981</v>
      </c>
      <c r="V14" s="185">
        <f t="shared" si="13"/>
        <v>7774.4833333333363</v>
      </c>
      <c r="W14" s="185">
        <f t="shared" si="13"/>
        <v>21828.527504358335</v>
      </c>
      <c r="X14" s="185">
        <f t="shared" si="13"/>
        <v>29487.249162325021</v>
      </c>
      <c r="Y14" s="185">
        <f t="shared" si="13"/>
        <v>56549.495510423352</v>
      </c>
      <c r="Z14" s="185">
        <f t="shared" si="13"/>
        <v>42264.522501055013</v>
      </c>
      <c r="AA14" s="185">
        <f t="shared" si="13"/>
        <v>39033.950002278354</v>
      </c>
      <c r="AB14" s="185">
        <f t="shared" si="13"/>
        <v>49574.092492918346</v>
      </c>
      <c r="AC14" s="185">
        <f t="shared" si="13"/>
        <v>38489.186666666661</v>
      </c>
      <c r="AD14" s="185">
        <f t="shared" si="13"/>
        <v>26068.666666666668</v>
      </c>
      <c r="AE14" s="185">
        <f t="shared" si="13"/>
        <v>22326.931001584013</v>
      </c>
      <c r="AF14" s="185">
        <f t="shared" si="13"/>
        <v>20494.299737010828</v>
      </c>
      <c r="AG14" s="185">
        <f t="shared" si="12"/>
        <v>362834.73041126993</v>
      </c>
      <c r="AH14" s="172">
        <v>0.41713517843871373</v>
      </c>
      <c r="AI14" s="185">
        <f t="shared" si="14"/>
        <v>362834.73041126993</v>
      </c>
      <c r="AJ14" s="483">
        <v>1</v>
      </c>
      <c r="AK14" s="134"/>
    </row>
    <row r="15" spans="1:37" s="149" customFormat="1">
      <c r="A15" s="132">
        <v>913</v>
      </c>
      <c r="B15" s="208" t="s">
        <v>532</v>
      </c>
      <c r="C15" s="148"/>
      <c r="D15" s="148"/>
      <c r="E15" s="148"/>
      <c r="G15" s="185">
        <v>0</v>
      </c>
      <c r="H15" s="185">
        <v>41.625</v>
      </c>
      <c r="I15" s="185">
        <v>1853.3333333333333</v>
      </c>
      <c r="J15" s="185">
        <v>16123.99375</v>
      </c>
      <c r="K15" s="185">
        <v>4325.0967447916664</v>
      </c>
      <c r="L15" s="185">
        <v>3150.8716145833332</v>
      </c>
      <c r="M15" s="185">
        <v>13833.566270833333</v>
      </c>
      <c r="N15" s="185">
        <v>36563.753283333339</v>
      </c>
      <c r="O15" s="185">
        <v>28003.336822833331</v>
      </c>
      <c r="P15" s="185">
        <v>13261.5</v>
      </c>
      <c r="Q15" s="185">
        <v>8173.898829819449</v>
      </c>
      <c r="R15" s="185">
        <v>7502.9717531010892</v>
      </c>
      <c r="S15" s="185">
        <f t="shared" si="10"/>
        <v>132833.94740262887</v>
      </c>
      <c r="U15" s="185">
        <f t="shared" si="15"/>
        <v>0</v>
      </c>
      <c r="V15" s="185">
        <f t="shared" si="13"/>
        <v>41.625</v>
      </c>
      <c r="W15" s="185">
        <f t="shared" si="13"/>
        <v>1853.3333333333333</v>
      </c>
      <c r="X15" s="185">
        <f t="shared" si="13"/>
        <v>16123.99375</v>
      </c>
      <c r="Y15" s="185">
        <f t="shared" si="13"/>
        <v>4325.0967447916664</v>
      </c>
      <c r="Z15" s="185">
        <f t="shared" si="13"/>
        <v>3150.8716145833332</v>
      </c>
      <c r="AA15" s="185">
        <f t="shared" si="13"/>
        <v>13833.566270833333</v>
      </c>
      <c r="AB15" s="185">
        <f t="shared" si="13"/>
        <v>36563.753283333339</v>
      </c>
      <c r="AC15" s="185">
        <f t="shared" si="13"/>
        <v>28003.336822833331</v>
      </c>
      <c r="AD15" s="185">
        <f t="shared" si="13"/>
        <v>13261.5</v>
      </c>
      <c r="AE15" s="185">
        <f t="shared" si="13"/>
        <v>8173.898829819449</v>
      </c>
      <c r="AF15" s="185">
        <f t="shared" si="13"/>
        <v>7502.9717531010892</v>
      </c>
      <c r="AG15" s="185">
        <f t="shared" si="12"/>
        <v>132833.94740262887</v>
      </c>
      <c r="AH15" s="172">
        <v>0.15271336426286397</v>
      </c>
      <c r="AI15" s="185">
        <f t="shared" si="14"/>
        <v>132833.94740262887</v>
      </c>
      <c r="AJ15" s="483">
        <v>1</v>
      </c>
      <c r="AK15" s="134"/>
    </row>
    <row r="16" spans="1:37" s="149" customFormat="1">
      <c r="A16" s="132">
        <v>915</v>
      </c>
      <c r="B16" s="208" t="s">
        <v>533</v>
      </c>
      <c r="C16" s="148"/>
      <c r="D16" s="148"/>
      <c r="E16" s="148"/>
      <c r="G16" s="185">
        <v>1504</v>
      </c>
      <c r="H16" s="185">
        <v>2936</v>
      </c>
      <c r="I16" s="185">
        <v>1776.6200000000001</v>
      </c>
      <c r="J16" s="185">
        <v>3466.6533333333336</v>
      </c>
      <c r="K16" s="185">
        <v>5791.3177747500004</v>
      </c>
      <c r="L16" s="185">
        <v>2996.8799797333336</v>
      </c>
      <c r="M16" s="185">
        <v>10167.186701086668</v>
      </c>
      <c r="N16" s="185">
        <v>5298.0384005533324</v>
      </c>
      <c r="O16" s="185">
        <v>4690.3383333333331</v>
      </c>
      <c r="P16" s="185">
        <v>2177.8333333333335</v>
      </c>
      <c r="Q16" s="185">
        <v>2846.9032402829303</v>
      </c>
      <c r="R16" s="185">
        <v>2613.2247340436688</v>
      </c>
      <c r="S16" s="185">
        <f t="shared" si="10"/>
        <v>46264.995830449938</v>
      </c>
      <c r="U16" s="185">
        <f t="shared" si="15"/>
        <v>1504</v>
      </c>
      <c r="V16" s="185">
        <f t="shared" si="13"/>
        <v>2936</v>
      </c>
      <c r="W16" s="185">
        <f t="shared" si="13"/>
        <v>1776.6200000000001</v>
      </c>
      <c r="X16" s="185">
        <f t="shared" si="13"/>
        <v>3466.6533333333336</v>
      </c>
      <c r="Y16" s="185">
        <f t="shared" si="13"/>
        <v>5791.3177747500004</v>
      </c>
      <c r="Z16" s="185">
        <f t="shared" si="13"/>
        <v>2996.8799797333336</v>
      </c>
      <c r="AA16" s="185">
        <f t="shared" si="13"/>
        <v>10167.186701086668</v>
      </c>
      <c r="AB16" s="185">
        <f t="shared" si="13"/>
        <v>5298.0384005533324</v>
      </c>
      <c r="AC16" s="185">
        <f t="shared" si="13"/>
        <v>4690.3383333333331</v>
      </c>
      <c r="AD16" s="185">
        <f t="shared" si="13"/>
        <v>2177.8333333333335</v>
      </c>
      <c r="AE16" s="185">
        <f t="shared" si="13"/>
        <v>2846.9032402829303</v>
      </c>
      <c r="AF16" s="185">
        <f t="shared" si="13"/>
        <v>2613.2247340436688</v>
      </c>
      <c r="AG16" s="185">
        <f t="shared" si="12"/>
        <v>46264.995830449938</v>
      </c>
      <c r="AH16" s="172">
        <v>5.3188836882638306E-2</v>
      </c>
      <c r="AI16" s="185">
        <f t="shared" si="14"/>
        <v>46264.995830449938</v>
      </c>
      <c r="AJ16" s="483">
        <v>1</v>
      </c>
      <c r="AK16" s="134"/>
    </row>
    <row r="17" spans="1:37" s="140" customFormat="1" ht="15.75" thickBot="1">
      <c r="A17" s="132">
        <v>914</v>
      </c>
      <c r="B17" s="208" t="s">
        <v>534</v>
      </c>
      <c r="C17" s="139"/>
      <c r="D17" s="139"/>
      <c r="E17" s="139"/>
      <c r="G17" s="185">
        <v>0</v>
      </c>
      <c r="H17" s="185">
        <v>1718.75</v>
      </c>
      <c r="I17" s="185">
        <v>0</v>
      </c>
      <c r="J17" s="185">
        <v>0</v>
      </c>
      <c r="K17" s="185">
        <v>0</v>
      </c>
      <c r="L17" s="185">
        <v>319.79166666666669</v>
      </c>
      <c r="M17" s="185">
        <v>1006.5650000000001</v>
      </c>
      <c r="N17" s="185">
        <v>889.58500000000004</v>
      </c>
      <c r="O17" s="185">
        <v>0</v>
      </c>
      <c r="P17" s="185">
        <v>399.16666666666669</v>
      </c>
      <c r="Q17" s="185">
        <v>302.36773160490321</v>
      </c>
      <c r="R17" s="185">
        <v>277.54889025595543</v>
      </c>
      <c r="S17" s="185">
        <f t="shared" si="10"/>
        <v>4913.7749551941924</v>
      </c>
      <c r="U17" s="185">
        <f t="shared" si="15"/>
        <v>0</v>
      </c>
      <c r="V17" s="185">
        <f t="shared" si="13"/>
        <v>1718.75</v>
      </c>
      <c r="W17" s="185">
        <f t="shared" si="13"/>
        <v>0</v>
      </c>
      <c r="X17" s="185">
        <f t="shared" si="13"/>
        <v>0</v>
      </c>
      <c r="Y17" s="185">
        <f t="shared" si="13"/>
        <v>0</v>
      </c>
      <c r="Z17" s="185">
        <f t="shared" si="13"/>
        <v>319.79166666666669</v>
      </c>
      <c r="AA17" s="185">
        <f t="shared" si="13"/>
        <v>1006.5650000000001</v>
      </c>
      <c r="AB17" s="185">
        <f t="shared" si="13"/>
        <v>889.58500000000004</v>
      </c>
      <c r="AC17" s="185">
        <f t="shared" si="13"/>
        <v>0</v>
      </c>
      <c r="AD17" s="185">
        <f t="shared" si="13"/>
        <v>399.16666666666669</v>
      </c>
      <c r="AE17" s="185">
        <f t="shared" si="13"/>
        <v>302.36773160490321</v>
      </c>
      <c r="AF17" s="185">
        <f t="shared" si="13"/>
        <v>277.54889025595543</v>
      </c>
      <c r="AG17" s="185">
        <f t="shared" si="12"/>
        <v>4913.7749551941924</v>
      </c>
      <c r="AH17" s="172">
        <v>5.649151585955638E-3</v>
      </c>
      <c r="AI17" s="185">
        <f t="shared" si="14"/>
        <v>4913.7749551941924</v>
      </c>
      <c r="AJ17" s="483">
        <v>1</v>
      </c>
      <c r="AK17" s="134"/>
    </row>
    <row r="18" spans="1:37" s="140" customFormat="1" ht="15.75" thickTop="1">
      <c r="A18" s="138"/>
      <c r="B18" s="187" t="s">
        <v>176</v>
      </c>
      <c r="C18" s="139"/>
      <c r="D18" s="139"/>
      <c r="E18" s="139"/>
      <c r="G18" s="188">
        <f>G11</f>
        <v>27201.07583265</v>
      </c>
      <c r="H18" s="188">
        <f t="shared" ref="H18:O18" si="16">H11</f>
        <v>20560.858333333337</v>
      </c>
      <c r="I18" s="188">
        <f t="shared" si="16"/>
        <v>60355.245837691677</v>
      </c>
      <c r="J18" s="188">
        <f t="shared" si="16"/>
        <v>71795.214578991683</v>
      </c>
      <c r="K18" s="188">
        <f t="shared" si="16"/>
        <v>93494.560862965009</v>
      </c>
      <c r="L18" s="188">
        <f t="shared" si="16"/>
        <v>78583.325762038352</v>
      </c>
      <c r="M18" s="188">
        <f t="shared" si="16"/>
        <v>91504.142974198359</v>
      </c>
      <c r="N18" s="188">
        <f t="shared" si="16"/>
        <v>111467.81084347169</v>
      </c>
      <c r="O18" s="188">
        <f t="shared" si="16"/>
        <v>105571.53682283332</v>
      </c>
      <c r="P18" s="188">
        <f>SUM(P12:P17)</f>
        <v>106636</v>
      </c>
      <c r="Q18" s="188">
        <f t="shared" ref="Q18:R18" si="17">SUM(Q12:Q17)</f>
        <v>53524.450000000012</v>
      </c>
      <c r="R18" s="188">
        <f t="shared" si="17"/>
        <v>49131.075000000004</v>
      </c>
      <c r="S18" s="188">
        <f t="shared" si="10"/>
        <v>869825.29684817349</v>
      </c>
      <c r="U18" s="188">
        <f t="shared" ref="U18:AF18" si="18">SUM(U12:U17)</f>
        <v>27201.07583265</v>
      </c>
      <c r="V18" s="188">
        <f t="shared" si="18"/>
        <v>20560.858333333337</v>
      </c>
      <c r="W18" s="188">
        <f t="shared" si="18"/>
        <v>60355.245837691677</v>
      </c>
      <c r="X18" s="188">
        <f t="shared" si="18"/>
        <v>71795.214578991683</v>
      </c>
      <c r="Y18" s="188">
        <f t="shared" si="18"/>
        <v>93494.560862965009</v>
      </c>
      <c r="Z18" s="188">
        <f t="shared" si="18"/>
        <v>78583.325762038352</v>
      </c>
      <c r="AA18" s="188">
        <f t="shared" si="18"/>
        <v>91504.142974198359</v>
      </c>
      <c r="AB18" s="188">
        <f t="shared" si="18"/>
        <v>111467.81084347169</v>
      </c>
      <c r="AC18" s="188">
        <f t="shared" si="18"/>
        <v>105571.53682283332</v>
      </c>
      <c r="AD18" s="188">
        <f t="shared" si="18"/>
        <v>106636</v>
      </c>
      <c r="AE18" s="188">
        <f t="shared" si="18"/>
        <v>53524.450000000012</v>
      </c>
      <c r="AF18" s="188">
        <f t="shared" si="18"/>
        <v>49131.075000000004</v>
      </c>
      <c r="AG18" s="188">
        <f t="shared" si="12"/>
        <v>869825.29684817349</v>
      </c>
      <c r="AK18" s="134"/>
    </row>
    <row r="19" spans="1:37" s="142" customFormat="1" ht="15.75" thickBot="1">
      <c r="A19" s="138">
        <v>916</v>
      </c>
      <c r="B19" s="189" t="s">
        <v>537</v>
      </c>
      <c r="C19" s="141"/>
      <c r="D19" s="141"/>
      <c r="E19" s="141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1"/>
      <c r="S19" s="190">
        <f t="shared" si="10"/>
        <v>0</v>
      </c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0">
        <f t="shared" si="12"/>
        <v>0</v>
      </c>
      <c r="AK19" s="134"/>
    </row>
    <row r="20" spans="1:37" s="145" customFormat="1" ht="15.75" thickTop="1">
      <c r="A20" s="138"/>
      <c r="B20" s="187" t="s">
        <v>178</v>
      </c>
      <c r="C20" s="143"/>
      <c r="D20" s="144"/>
      <c r="E20" s="144"/>
      <c r="G20" s="188">
        <f t="shared" ref="G20:R20" si="19">G18+G19</f>
        <v>27201.07583265</v>
      </c>
      <c r="H20" s="188">
        <f t="shared" si="19"/>
        <v>20560.858333333337</v>
      </c>
      <c r="I20" s="188">
        <f t="shared" si="19"/>
        <v>60355.245837691677</v>
      </c>
      <c r="J20" s="188">
        <f t="shared" si="19"/>
        <v>71795.214578991683</v>
      </c>
      <c r="K20" s="188">
        <f t="shared" si="19"/>
        <v>93494.560862965009</v>
      </c>
      <c r="L20" s="188">
        <f t="shared" si="19"/>
        <v>78583.325762038352</v>
      </c>
      <c r="M20" s="188">
        <f t="shared" si="19"/>
        <v>91504.142974198359</v>
      </c>
      <c r="N20" s="188">
        <f t="shared" si="19"/>
        <v>111467.81084347169</v>
      </c>
      <c r="O20" s="188">
        <f t="shared" si="19"/>
        <v>105571.53682283332</v>
      </c>
      <c r="P20" s="188">
        <f t="shared" si="19"/>
        <v>106636</v>
      </c>
      <c r="Q20" s="188">
        <f t="shared" si="19"/>
        <v>53524.450000000012</v>
      </c>
      <c r="R20" s="188">
        <f t="shared" si="19"/>
        <v>49131.075000000004</v>
      </c>
      <c r="S20" s="188">
        <f t="shared" si="10"/>
        <v>869825.29684817349</v>
      </c>
      <c r="U20" s="188">
        <f t="shared" ref="U20:AF20" si="20">U18+U19</f>
        <v>27201.07583265</v>
      </c>
      <c r="V20" s="188">
        <f t="shared" si="20"/>
        <v>20560.858333333337</v>
      </c>
      <c r="W20" s="188">
        <f t="shared" si="20"/>
        <v>60355.245837691677</v>
      </c>
      <c r="X20" s="188">
        <f t="shared" si="20"/>
        <v>71795.214578991683</v>
      </c>
      <c r="Y20" s="188">
        <f t="shared" si="20"/>
        <v>93494.560862965009</v>
      </c>
      <c r="Z20" s="188">
        <f t="shared" si="20"/>
        <v>78583.325762038352</v>
      </c>
      <c r="AA20" s="188">
        <f t="shared" si="20"/>
        <v>91504.142974198359</v>
      </c>
      <c r="AB20" s="188">
        <f t="shared" si="20"/>
        <v>111467.81084347169</v>
      </c>
      <c r="AC20" s="188">
        <f t="shared" si="20"/>
        <v>105571.53682283332</v>
      </c>
      <c r="AD20" s="188">
        <f t="shared" si="20"/>
        <v>106636</v>
      </c>
      <c r="AE20" s="188">
        <f t="shared" si="20"/>
        <v>53524.450000000012</v>
      </c>
      <c r="AF20" s="188">
        <f t="shared" si="20"/>
        <v>49131.075000000004</v>
      </c>
      <c r="AG20" s="188">
        <f t="shared" si="12"/>
        <v>869825.29684817349</v>
      </c>
      <c r="AK20" s="134"/>
    </row>
    <row r="21" spans="1:37" s="149" customFormat="1">
      <c r="A21" s="146"/>
      <c r="B21" s="147"/>
      <c r="C21" s="148"/>
      <c r="D21" s="148"/>
      <c r="E21" s="148"/>
      <c r="G21" s="148"/>
      <c r="H21" s="148"/>
      <c r="I21" s="148"/>
      <c r="J21" s="148"/>
      <c r="K21" s="148"/>
      <c r="L21" s="148"/>
      <c r="M21" s="148"/>
      <c r="N21" s="148"/>
      <c r="O21" s="148">
        <v>2016</v>
      </c>
      <c r="P21" s="148">
        <v>2016</v>
      </c>
      <c r="Q21" s="148">
        <f>305854</f>
        <v>305854</v>
      </c>
      <c r="R21" s="148">
        <v>280749</v>
      </c>
      <c r="S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</row>
    <row r="22" spans="1:37" s="149" customFormat="1">
      <c r="A22" s="146"/>
      <c r="B22" s="147"/>
      <c r="C22" s="148"/>
      <c r="D22" s="148"/>
      <c r="E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</row>
    <row r="23" spans="1:37" s="140" customFormat="1" ht="24" customHeight="1">
      <c r="A23" s="146"/>
      <c r="B23" s="147"/>
      <c r="C23" s="139"/>
      <c r="D23" s="139"/>
      <c r="E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48"/>
      <c r="S23" s="148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</row>
    <row r="24" spans="1:37" s="140" customFormat="1">
      <c r="A24" s="146"/>
      <c r="B24" s="147"/>
      <c r="C24" s="139"/>
      <c r="D24" s="139"/>
      <c r="E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8"/>
      <c r="S24" s="148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</row>
    <row r="25" spans="1:37" s="142" customFormat="1">
      <c r="A25" s="146"/>
      <c r="B25" s="147"/>
      <c r="C25" s="141"/>
      <c r="D25" s="141"/>
      <c r="E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8"/>
      <c r="S25" s="148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</row>
    <row r="26" spans="1:37" s="145" customFormat="1">
      <c r="A26" s="146"/>
      <c r="B26" s="147"/>
      <c r="C26" s="143"/>
      <c r="D26" s="144"/>
      <c r="E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8"/>
      <c r="S26" s="148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</row>
    <row r="27" spans="1:37" s="149" customFormat="1">
      <c r="A27" s="146"/>
      <c r="B27" s="147"/>
      <c r="C27" s="148"/>
      <c r="D27" s="148"/>
      <c r="E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spans="1:37" s="149" customFormat="1">
      <c r="A28" s="146"/>
      <c r="B28" s="147"/>
      <c r="C28" s="148"/>
      <c r="D28" s="148"/>
      <c r="E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spans="1:37" s="150" customFormat="1">
      <c r="F29" s="151"/>
    </row>
    <row r="30" spans="1:37" s="150" customFormat="1">
      <c r="F30" s="151"/>
    </row>
    <row r="31" spans="1:37" s="150" customFormat="1">
      <c r="F31" s="151"/>
    </row>
    <row r="32" spans="1:37" s="150" customFormat="1">
      <c r="F32" s="151"/>
    </row>
    <row r="33" spans="6:6" s="150" customFormat="1" ht="24" customHeight="1">
      <c r="F33" s="151"/>
    </row>
    <row r="34" spans="6:6" s="150" customFormat="1">
      <c r="F34" s="151"/>
    </row>
    <row r="35" spans="6:6" s="150" customFormat="1">
      <c r="F35" s="151"/>
    </row>
    <row r="36" spans="6:6" s="150" customFormat="1">
      <c r="F36" s="151"/>
    </row>
    <row r="37" spans="6:6" s="150" customFormat="1">
      <c r="F37" s="151"/>
    </row>
    <row r="38" spans="6:6" s="150" customFormat="1">
      <c r="F38" s="151"/>
    </row>
    <row r="39" spans="6:6" s="150" customFormat="1" ht="24" customHeight="1">
      <c r="F39" s="151"/>
    </row>
    <row r="40" spans="6:6" s="150" customFormat="1">
      <c r="F40" s="151"/>
    </row>
    <row r="41" spans="6:6" s="150" customFormat="1">
      <c r="F41" s="151"/>
    </row>
    <row r="42" spans="6:6" s="150" customFormat="1">
      <c r="F42" s="151"/>
    </row>
    <row r="43" spans="6:6" s="150" customFormat="1">
      <c r="F43" s="151"/>
    </row>
    <row r="44" spans="6:6" s="150" customFormat="1">
      <c r="F44" s="151"/>
    </row>
    <row r="45" spans="6:6" s="150" customFormat="1" ht="24" customHeight="1">
      <c r="F45" s="151"/>
    </row>
    <row r="46" spans="6:6" s="150" customFormat="1">
      <c r="F46" s="151"/>
    </row>
    <row r="47" spans="6:6" s="150" customFormat="1">
      <c r="F47" s="151"/>
    </row>
    <row r="48" spans="6:6" s="150" customFormat="1">
      <c r="F48" s="151"/>
    </row>
    <row r="49" spans="6:6" s="150" customFormat="1">
      <c r="F49" s="151"/>
    </row>
    <row r="50" spans="6:6" s="150" customFormat="1">
      <c r="F50" s="151"/>
    </row>
    <row r="51" spans="6:6" s="150" customFormat="1" ht="24" customHeight="1">
      <c r="F51" s="151"/>
    </row>
    <row r="52" spans="6:6" s="150" customFormat="1">
      <c r="F52" s="151"/>
    </row>
    <row r="53" spans="6:6" s="150" customFormat="1">
      <c r="F53" s="151"/>
    </row>
    <row r="54" spans="6:6" s="150" customFormat="1">
      <c r="F54" s="151"/>
    </row>
    <row r="55" spans="6:6" s="150" customFormat="1">
      <c r="F55" s="151"/>
    </row>
    <row r="56" spans="6:6" s="150" customFormat="1">
      <c r="F56" s="151"/>
    </row>
    <row r="57" spans="6:6" ht="24" customHeight="1"/>
    <row r="63" spans="6:6" ht="24" customHeight="1"/>
    <row r="65" spans="6:6">
      <c r="F65" s="45"/>
    </row>
    <row r="66" spans="6:6">
      <c r="F66" s="45"/>
    </row>
    <row r="67" spans="6:6">
      <c r="F67" s="45"/>
    </row>
    <row r="68" spans="6:6">
      <c r="F68" s="45"/>
    </row>
    <row r="69" spans="6:6">
      <c r="F69" s="45"/>
    </row>
    <row r="70" spans="6:6">
      <c r="F70" s="45"/>
    </row>
    <row r="71" spans="6:6">
      <c r="F71" s="45"/>
    </row>
    <row r="72" spans="6:6">
      <c r="F72" s="45"/>
    </row>
    <row r="73" spans="6:6">
      <c r="F73" s="45"/>
    </row>
    <row r="74" spans="6:6">
      <c r="F74" s="45"/>
    </row>
    <row r="75" spans="6:6">
      <c r="F75" s="45"/>
    </row>
    <row r="76" spans="6:6">
      <c r="F76" s="45"/>
    </row>
    <row r="77" spans="6:6">
      <c r="F77" s="45"/>
    </row>
    <row r="78" spans="6:6">
      <c r="F78" s="45"/>
    </row>
    <row r="79" spans="6:6">
      <c r="F79" s="45"/>
    </row>
    <row r="80" spans="6:6">
      <c r="F80" s="45"/>
    </row>
    <row r="81" spans="6:6">
      <c r="F81" s="45"/>
    </row>
    <row r="82" spans="6:6">
      <c r="F82" s="45"/>
    </row>
    <row r="83" spans="6:6">
      <c r="F83" s="45"/>
    </row>
    <row r="84" spans="6:6">
      <c r="F84" s="45"/>
    </row>
    <row r="85" spans="6:6">
      <c r="F85" s="45"/>
    </row>
    <row r="86" spans="6:6">
      <c r="F86" s="45"/>
    </row>
    <row r="87" spans="6:6">
      <c r="F87" s="45"/>
    </row>
    <row r="88" spans="6:6">
      <c r="F88" s="45"/>
    </row>
    <row r="89" spans="6:6">
      <c r="F89" s="45"/>
    </row>
    <row r="90" spans="6:6">
      <c r="F90" s="45"/>
    </row>
    <row r="91" spans="6:6">
      <c r="F91" s="45"/>
    </row>
    <row r="92" spans="6:6">
      <c r="F92" s="45"/>
    </row>
    <row r="93" spans="6:6">
      <c r="F93" s="45"/>
    </row>
    <row r="94" spans="6:6">
      <c r="F94" s="45"/>
    </row>
    <row r="95" spans="6:6">
      <c r="F95" s="45"/>
    </row>
    <row r="96" spans="6:6">
      <c r="F96" s="45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G28"/>
  <sheetViews>
    <sheetView showGridLines="0" zoomScale="120" zoomScaleNormal="120" zoomScalePageLayoutView="120" workbookViewId="0">
      <pane xSplit="2" ySplit="4" topLeftCell="T5" activePane="bottomRight" state="frozen"/>
      <selection activeCell="D23" sqref="D23"/>
      <selection pane="topRight" activeCell="D23" sqref="D23"/>
      <selection pane="bottomLeft" activeCell="D23" sqref="D23"/>
      <selection pane="bottomRight" activeCell="X17" sqref="X17:AF22"/>
    </sheetView>
  </sheetViews>
  <sheetFormatPr defaultColWidth="10.85546875" defaultRowHeight="15" outlineLevelCol="1"/>
  <cols>
    <col min="1" max="1" width="9.85546875" style="45" hidden="1" customWidth="1" outlineLevel="1"/>
    <col min="2" max="2" width="36.7109375" style="45" bestFit="1" customWidth="1" collapsed="1"/>
    <col min="3" max="5" width="15.28515625" style="45" hidden="1" customWidth="1" outlineLevel="1"/>
    <col min="6" max="6" width="1.42578125" customWidth="1" collapsed="1"/>
    <col min="7" max="7" width="16.7109375" style="45" hidden="1" customWidth="1" outlineLevel="1"/>
    <col min="8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1.140625" style="45" customWidth="1" outlineLevel="1"/>
    <col min="33" max="33" width="11.140625" style="45" customWidth="1"/>
    <col min="34" max="16384" width="10.85546875" style="45"/>
  </cols>
  <sheetData>
    <row r="1" spans="1:33" s="88" customFormat="1">
      <c r="A1" s="36"/>
      <c r="B1" s="37" t="s">
        <v>77</v>
      </c>
      <c r="G1" s="312">
        <v>68</v>
      </c>
      <c r="H1" s="312">
        <v>69</v>
      </c>
      <c r="I1" s="312">
        <v>70</v>
      </c>
      <c r="J1" s="312">
        <v>71</v>
      </c>
      <c r="K1" s="312">
        <v>72</v>
      </c>
      <c r="L1" s="312">
        <v>73</v>
      </c>
      <c r="M1" s="312">
        <v>74</v>
      </c>
      <c r="N1" s="312">
        <v>75</v>
      </c>
      <c r="O1" s="312">
        <v>76</v>
      </c>
      <c r="P1" s="312">
        <v>77</v>
      </c>
      <c r="Q1" s="312">
        <v>78</v>
      </c>
      <c r="R1" s="312">
        <v>79</v>
      </c>
    </row>
    <row r="2" spans="1:33" s="90" customFormat="1">
      <c r="A2" s="36"/>
      <c r="B2" s="37"/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114">
        <v>43009</v>
      </c>
      <c r="Q2" s="114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115" t="s">
        <v>130</v>
      </c>
      <c r="Q3" s="115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116" t="s">
        <v>79</v>
      </c>
      <c r="Q4" s="116" t="s">
        <v>79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>
      <c r="A5" s="42">
        <v>1500</v>
      </c>
      <c r="B5" s="43" t="s">
        <v>84</v>
      </c>
      <c r="C5" s="44">
        <f>C24+C28</f>
        <v>167651.14000000001</v>
      </c>
      <c r="D5" s="44">
        <f>D24+D28</f>
        <v>136331.57500000001</v>
      </c>
      <c r="E5" s="44">
        <f>E24+E28</f>
        <v>83023.403333333335</v>
      </c>
      <c r="G5" s="44">
        <f>G24</f>
        <v>71023.666666666657</v>
      </c>
      <c r="H5" s="44">
        <f t="shared" ref="H5:R5" si="0">H24</f>
        <v>71023.666666666657</v>
      </c>
      <c r="I5" s="44">
        <f t="shared" si="0"/>
        <v>83023.666666666657</v>
      </c>
      <c r="J5" s="44">
        <f t="shared" si="0"/>
        <v>83023.666666666657</v>
      </c>
      <c r="K5" s="44">
        <f t="shared" si="0"/>
        <v>83023.666666666657</v>
      </c>
      <c r="L5" s="44">
        <f t="shared" si="0"/>
        <v>83023.666666666657</v>
      </c>
      <c r="M5" s="44">
        <f t="shared" si="0"/>
        <v>57436.666666666664</v>
      </c>
      <c r="N5" s="44">
        <f t="shared" si="0"/>
        <v>57436.666666666664</v>
      </c>
      <c r="O5" s="44">
        <f t="shared" si="0"/>
        <v>57436.666666666664</v>
      </c>
      <c r="P5" s="44">
        <f t="shared" si="0"/>
        <v>57436.666666666664</v>
      </c>
      <c r="Q5" s="44">
        <f t="shared" si="0"/>
        <v>57436.666666666664</v>
      </c>
      <c r="R5" s="44">
        <f t="shared" si="0"/>
        <v>57436.666666666664</v>
      </c>
      <c r="S5" s="44">
        <f>SUM(G5:R5)</f>
        <v>818761.99999999965</v>
      </c>
      <c r="U5" s="44">
        <f>U24</f>
        <v>57436.666666666664</v>
      </c>
      <c r="V5" s="44">
        <f t="shared" ref="V5:AF5" si="1">V24</f>
        <v>57436.666666666664</v>
      </c>
      <c r="W5" s="44">
        <f t="shared" si="1"/>
        <v>57436.666666666664</v>
      </c>
      <c r="X5" s="44">
        <f t="shared" si="1"/>
        <v>57436.666666666664</v>
      </c>
      <c r="Y5" s="44">
        <f t="shared" si="1"/>
        <v>46836.666666666664</v>
      </c>
      <c r="Z5" s="44">
        <f t="shared" si="1"/>
        <v>46836.666666666664</v>
      </c>
      <c r="AA5" s="44">
        <f t="shared" si="1"/>
        <v>46836.666666666664</v>
      </c>
      <c r="AB5" s="44">
        <f t="shared" si="1"/>
        <v>46836.666666666664</v>
      </c>
      <c r="AC5" s="44">
        <f t="shared" si="1"/>
        <v>46836.666666666664</v>
      </c>
      <c r="AD5" s="44">
        <f t="shared" si="1"/>
        <v>46836.666666666664</v>
      </c>
      <c r="AE5" s="44">
        <f t="shared" si="1"/>
        <v>46836.666666666664</v>
      </c>
      <c r="AF5" s="44">
        <f t="shared" si="1"/>
        <v>46836.666666666664</v>
      </c>
      <c r="AG5" s="44">
        <f>SUM(U5:AF5)</f>
        <v>604440</v>
      </c>
    </row>
    <row r="6" spans="1:33" s="96" customFormat="1" ht="24" customHeight="1">
      <c r="A6" s="42"/>
      <c r="B6" s="43">
        <v>6</v>
      </c>
      <c r="C6" s="44"/>
      <c r="D6" s="44"/>
      <c r="E6" s="44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s="100" customFormat="1">
      <c r="A7" s="190" t="s">
        <v>191</v>
      </c>
      <c r="B7" s="190" t="s">
        <v>192</v>
      </c>
      <c r="C7" s="190" t="s">
        <v>193</v>
      </c>
      <c r="D7" s="190" t="s">
        <v>194</v>
      </c>
      <c r="E7" s="190" t="s">
        <v>195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33">
      <c r="A8" s="208"/>
      <c r="B8" s="208">
        <v>1</v>
      </c>
      <c r="C8" s="185">
        <v>500</v>
      </c>
      <c r="D8" s="185">
        <f>E8/C8</f>
        <v>6</v>
      </c>
      <c r="E8" s="185">
        <v>3000</v>
      </c>
      <c r="G8" s="185">
        <v>3000</v>
      </c>
      <c r="H8" s="185">
        <v>3000</v>
      </c>
      <c r="I8" s="185">
        <v>3000</v>
      </c>
      <c r="J8" s="185">
        <v>3000</v>
      </c>
      <c r="K8" s="185">
        <v>3000</v>
      </c>
      <c r="L8" s="185">
        <v>3000</v>
      </c>
      <c r="M8" s="185">
        <v>3000</v>
      </c>
      <c r="N8" s="185">
        <v>3000</v>
      </c>
      <c r="O8" s="185">
        <v>3000</v>
      </c>
      <c r="P8" s="185">
        <v>3000</v>
      </c>
      <c r="Q8" s="185">
        <v>3000</v>
      </c>
      <c r="R8" s="185">
        <v>3000</v>
      </c>
      <c r="S8" s="185">
        <f t="shared" ref="S8:S24" si="2">SUM(G8:R8)</f>
        <v>36000</v>
      </c>
      <c r="U8" s="185">
        <v>3000</v>
      </c>
      <c r="V8" s="185">
        <v>3000</v>
      </c>
      <c r="W8" s="185">
        <v>3000</v>
      </c>
      <c r="X8" s="185">
        <v>3000</v>
      </c>
      <c r="Y8" s="185"/>
      <c r="Z8" s="185"/>
      <c r="AA8" s="185"/>
      <c r="AB8" s="185"/>
      <c r="AC8" s="185"/>
      <c r="AD8" s="185"/>
      <c r="AE8" s="185"/>
      <c r="AF8" s="185"/>
      <c r="AG8" s="185">
        <f t="shared" ref="AG8:AG24" si="3">SUM(U8:AF8)</f>
        <v>12000</v>
      </c>
    </row>
    <row r="9" spans="1:33">
      <c r="A9" s="208"/>
      <c r="B9" s="208">
        <v>2</v>
      </c>
      <c r="C9" s="185">
        <v>50</v>
      </c>
      <c r="D9" s="185">
        <f t="shared" ref="D9:D22" si="4">E9/C9</f>
        <v>8.3333333333333339</v>
      </c>
      <c r="E9" s="185">
        <f>5000/12</f>
        <v>416.66666666666669</v>
      </c>
      <c r="G9" s="185">
        <f>5000/12</f>
        <v>416.66666666666669</v>
      </c>
      <c r="H9" s="185">
        <f t="shared" ref="H9:R9" si="5">5000/12</f>
        <v>416.66666666666669</v>
      </c>
      <c r="I9" s="185">
        <f t="shared" si="5"/>
        <v>416.66666666666669</v>
      </c>
      <c r="J9" s="185">
        <f t="shared" si="5"/>
        <v>416.66666666666669</v>
      </c>
      <c r="K9" s="185">
        <f t="shared" si="5"/>
        <v>416.66666666666669</v>
      </c>
      <c r="L9" s="185">
        <f t="shared" si="5"/>
        <v>416.66666666666669</v>
      </c>
      <c r="M9" s="185">
        <f t="shared" si="5"/>
        <v>416.66666666666669</v>
      </c>
      <c r="N9" s="185">
        <f t="shared" si="5"/>
        <v>416.66666666666669</v>
      </c>
      <c r="O9" s="185">
        <f t="shared" si="5"/>
        <v>416.66666666666669</v>
      </c>
      <c r="P9" s="185">
        <f t="shared" si="5"/>
        <v>416.66666666666669</v>
      </c>
      <c r="Q9" s="185">
        <f t="shared" si="5"/>
        <v>416.66666666666669</v>
      </c>
      <c r="R9" s="185">
        <f t="shared" si="5"/>
        <v>416.66666666666669</v>
      </c>
      <c r="S9" s="185">
        <f t="shared" si="2"/>
        <v>5000</v>
      </c>
      <c r="U9" s="185">
        <f t="shared" ref="U9:AF9" si="6">5000/12</f>
        <v>416.66666666666669</v>
      </c>
      <c r="V9" s="185">
        <f t="shared" si="6"/>
        <v>416.66666666666669</v>
      </c>
      <c r="W9" s="185">
        <f t="shared" si="6"/>
        <v>416.66666666666669</v>
      </c>
      <c r="X9" s="185">
        <f t="shared" si="6"/>
        <v>416.66666666666669</v>
      </c>
      <c r="Y9" s="185">
        <f t="shared" si="6"/>
        <v>416.66666666666669</v>
      </c>
      <c r="Z9" s="185">
        <f t="shared" si="6"/>
        <v>416.66666666666669</v>
      </c>
      <c r="AA9" s="185">
        <f t="shared" si="6"/>
        <v>416.66666666666669</v>
      </c>
      <c r="AB9" s="185">
        <f t="shared" si="6"/>
        <v>416.66666666666669</v>
      </c>
      <c r="AC9" s="185">
        <f t="shared" si="6"/>
        <v>416.66666666666669</v>
      </c>
      <c r="AD9" s="185">
        <f t="shared" si="6"/>
        <v>416.66666666666669</v>
      </c>
      <c r="AE9" s="185">
        <f t="shared" si="6"/>
        <v>416.66666666666669</v>
      </c>
      <c r="AF9" s="185">
        <f t="shared" si="6"/>
        <v>416.66666666666669</v>
      </c>
      <c r="AG9" s="185">
        <f t="shared" si="3"/>
        <v>5000</v>
      </c>
    </row>
    <row r="10" spans="1:33">
      <c r="A10" s="208"/>
      <c r="B10" s="208">
        <v>3</v>
      </c>
      <c r="C10" s="185">
        <v>500</v>
      </c>
      <c r="D10" s="185">
        <f t="shared" si="4"/>
        <v>6</v>
      </c>
      <c r="E10" s="185">
        <v>3000</v>
      </c>
      <c r="G10" s="185">
        <v>3000</v>
      </c>
      <c r="H10" s="185">
        <v>3000</v>
      </c>
      <c r="I10" s="185">
        <v>3000</v>
      </c>
      <c r="J10" s="185">
        <v>3000</v>
      </c>
      <c r="K10" s="185">
        <v>3000</v>
      </c>
      <c r="L10" s="185">
        <v>3000</v>
      </c>
      <c r="M10" s="185">
        <v>3000</v>
      </c>
      <c r="N10" s="185">
        <v>3000</v>
      </c>
      <c r="O10" s="185">
        <v>3000</v>
      </c>
      <c r="P10" s="185">
        <v>3000</v>
      </c>
      <c r="Q10" s="185">
        <v>3000</v>
      </c>
      <c r="R10" s="185">
        <v>3000</v>
      </c>
      <c r="S10" s="185">
        <f t="shared" si="2"/>
        <v>36000</v>
      </c>
      <c r="U10" s="185">
        <v>3000</v>
      </c>
      <c r="V10" s="185">
        <v>3000</v>
      </c>
      <c r="W10" s="185">
        <v>3000</v>
      </c>
      <c r="X10" s="185">
        <v>3000</v>
      </c>
      <c r="Y10" s="185"/>
      <c r="Z10" s="185"/>
      <c r="AA10" s="185"/>
      <c r="AB10" s="185"/>
      <c r="AC10" s="185"/>
      <c r="AD10" s="185"/>
      <c r="AE10" s="185"/>
      <c r="AF10" s="185"/>
      <c r="AG10" s="185">
        <f t="shared" si="3"/>
        <v>12000</v>
      </c>
    </row>
    <row r="11" spans="1:33">
      <c r="A11" s="208"/>
      <c r="B11" s="208">
        <v>4</v>
      </c>
      <c r="C11" s="185"/>
      <c r="D11" s="185" t="e">
        <f t="shared" si="4"/>
        <v>#DIV/0!</v>
      </c>
      <c r="E11" s="185">
        <v>750</v>
      </c>
      <c r="G11" s="185">
        <v>750</v>
      </c>
      <c r="H11" s="185">
        <v>750</v>
      </c>
      <c r="I11" s="185">
        <v>750</v>
      </c>
      <c r="J11" s="185">
        <v>750</v>
      </c>
      <c r="K11" s="185">
        <v>750</v>
      </c>
      <c r="L11" s="185">
        <v>750</v>
      </c>
      <c r="M11" s="185">
        <v>750</v>
      </c>
      <c r="N11" s="185">
        <v>750</v>
      </c>
      <c r="O11" s="185">
        <v>750</v>
      </c>
      <c r="P11" s="185">
        <v>750</v>
      </c>
      <c r="Q11" s="185">
        <v>750</v>
      </c>
      <c r="R11" s="185">
        <v>750</v>
      </c>
      <c r="S11" s="185">
        <f t="shared" si="2"/>
        <v>9000</v>
      </c>
      <c r="U11" s="185">
        <v>750</v>
      </c>
      <c r="V11" s="185">
        <v>750</v>
      </c>
      <c r="W11" s="185">
        <v>750</v>
      </c>
      <c r="X11" s="185">
        <v>750</v>
      </c>
      <c r="Y11" s="185"/>
      <c r="Z11" s="185"/>
      <c r="AA11" s="185"/>
      <c r="AB11" s="185"/>
      <c r="AC11" s="185"/>
      <c r="AD11" s="185"/>
      <c r="AE11" s="185"/>
      <c r="AF11" s="185"/>
      <c r="AG11" s="185">
        <f t="shared" si="3"/>
        <v>3000</v>
      </c>
    </row>
    <row r="12" spans="1:33">
      <c r="A12" s="208"/>
      <c r="B12" s="208">
        <v>5</v>
      </c>
      <c r="C12" s="185"/>
      <c r="D12" s="185" t="e">
        <f t="shared" si="4"/>
        <v>#DIV/0!</v>
      </c>
      <c r="E12" s="185">
        <v>3850</v>
      </c>
      <c r="G12" s="185">
        <v>3850</v>
      </c>
      <c r="H12" s="185">
        <v>3850</v>
      </c>
      <c r="I12" s="185">
        <v>3850</v>
      </c>
      <c r="J12" s="185">
        <v>3850</v>
      </c>
      <c r="K12" s="185">
        <v>3850</v>
      </c>
      <c r="L12" s="185">
        <v>3850</v>
      </c>
      <c r="M12" s="185">
        <v>3850</v>
      </c>
      <c r="N12" s="185">
        <v>3850</v>
      </c>
      <c r="O12" s="185">
        <v>3850</v>
      </c>
      <c r="P12" s="185">
        <v>3850</v>
      </c>
      <c r="Q12" s="185">
        <v>3850</v>
      </c>
      <c r="R12" s="185">
        <v>3850</v>
      </c>
      <c r="S12" s="185">
        <f t="shared" si="2"/>
        <v>46200</v>
      </c>
      <c r="U12" s="185">
        <v>3850</v>
      </c>
      <c r="V12" s="185">
        <v>3850</v>
      </c>
      <c r="W12" s="185">
        <v>3850</v>
      </c>
      <c r="X12" s="185">
        <v>3850</v>
      </c>
      <c r="Y12" s="185"/>
      <c r="Z12" s="185"/>
      <c r="AA12" s="185"/>
      <c r="AB12" s="185"/>
      <c r="AC12" s="185"/>
      <c r="AD12" s="185"/>
      <c r="AE12" s="185"/>
      <c r="AF12" s="185"/>
      <c r="AG12" s="185">
        <f t="shared" si="3"/>
        <v>15400</v>
      </c>
    </row>
    <row r="13" spans="1:33">
      <c r="A13" s="208"/>
      <c r="B13" s="208">
        <v>6</v>
      </c>
      <c r="C13" s="185">
        <v>1000</v>
      </c>
      <c r="D13" s="185">
        <f t="shared" si="4"/>
        <v>9.17</v>
      </c>
      <c r="E13" s="185">
        <v>9170</v>
      </c>
      <c r="G13" s="185">
        <v>9170</v>
      </c>
      <c r="H13" s="185">
        <v>9170</v>
      </c>
      <c r="I13" s="185">
        <v>9170</v>
      </c>
      <c r="J13" s="185">
        <v>9170</v>
      </c>
      <c r="K13" s="185">
        <v>9170</v>
      </c>
      <c r="L13" s="185">
        <v>9170</v>
      </c>
      <c r="M13" s="185">
        <v>9170</v>
      </c>
      <c r="N13" s="185">
        <v>9170</v>
      </c>
      <c r="O13" s="185">
        <v>9170</v>
      </c>
      <c r="P13" s="185">
        <v>9170</v>
      </c>
      <c r="Q13" s="185">
        <v>9170</v>
      </c>
      <c r="R13" s="185">
        <v>9170</v>
      </c>
      <c r="S13" s="185">
        <f t="shared" si="2"/>
        <v>110040</v>
      </c>
      <c r="U13" s="185">
        <v>9170</v>
      </c>
      <c r="V13" s="185">
        <v>9170</v>
      </c>
      <c r="W13" s="185">
        <v>9170</v>
      </c>
      <c r="X13" s="185">
        <v>9170</v>
      </c>
      <c r="Y13" s="185">
        <v>9170</v>
      </c>
      <c r="Z13" s="185">
        <v>9170</v>
      </c>
      <c r="AA13" s="185">
        <v>9170</v>
      </c>
      <c r="AB13" s="185">
        <v>9170</v>
      </c>
      <c r="AC13" s="185">
        <v>9170</v>
      </c>
      <c r="AD13" s="185">
        <v>9170</v>
      </c>
      <c r="AE13" s="185">
        <v>9170</v>
      </c>
      <c r="AF13" s="185">
        <v>9170</v>
      </c>
      <c r="AG13" s="185">
        <f t="shared" si="3"/>
        <v>110040</v>
      </c>
    </row>
    <row r="14" spans="1:33">
      <c r="A14" s="208"/>
      <c r="B14" s="208">
        <v>7</v>
      </c>
      <c r="C14" s="185">
        <v>357</v>
      </c>
      <c r="D14" s="185">
        <f t="shared" si="4"/>
        <v>33.613445378151262</v>
      </c>
      <c r="E14" s="185">
        <v>12000</v>
      </c>
      <c r="G14" s="185"/>
      <c r="H14" s="185"/>
      <c r="I14" s="185">
        <v>12000</v>
      </c>
      <c r="J14" s="185">
        <v>12000</v>
      </c>
      <c r="K14" s="185">
        <v>12000</v>
      </c>
      <c r="L14" s="185">
        <v>12000</v>
      </c>
      <c r="M14" s="185">
        <v>12000</v>
      </c>
      <c r="N14" s="185">
        <v>12000</v>
      </c>
      <c r="O14" s="185">
        <v>12000</v>
      </c>
      <c r="P14" s="185">
        <v>12000</v>
      </c>
      <c r="Q14" s="185">
        <v>12000</v>
      </c>
      <c r="R14" s="185">
        <v>12000</v>
      </c>
      <c r="S14" s="185">
        <f t="shared" si="2"/>
        <v>120000</v>
      </c>
      <c r="U14" s="185">
        <v>12000</v>
      </c>
      <c r="V14" s="185">
        <v>12000</v>
      </c>
      <c r="W14" s="185">
        <v>12000</v>
      </c>
      <c r="X14" s="185">
        <v>12000</v>
      </c>
      <c r="Y14" s="185">
        <v>12000</v>
      </c>
      <c r="Z14" s="185">
        <v>12000</v>
      </c>
      <c r="AA14" s="185">
        <v>12000</v>
      </c>
      <c r="AB14" s="185">
        <v>12000</v>
      </c>
      <c r="AC14" s="185">
        <v>12000</v>
      </c>
      <c r="AD14" s="185">
        <v>12000</v>
      </c>
      <c r="AE14" s="185">
        <v>12000</v>
      </c>
      <c r="AF14" s="185">
        <v>12000</v>
      </c>
      <c r="AG14" s="185">
        <f t="shared" si="3"/>
        <v>144000</v>
      </c>
    </row>
    <row r="15" spans="1:33">
      <c r="A15" s="208"/>
      <c r="B15" s="208">
        <v>8</v>
      </c>
      <c r="C15" s="185"/>
      <c r="D15" s="185" t="e">
        <f t="shared" si="4"/>
        <v>#DIV/0!</v>
      </c>
      <c r="E15" s="185">
        <f>63000/12</f>
        <v>5250</v>
      </c>
      <c r="G15" s="185">
        <f>63000/12</f>
        <v>5250</v>
      </c>
      <c r="H15" s="185">
        <f t="shared" ref="H15:R15" si="7">63000/12</f>
        <v>5250</v>
      </c>
      <c r="I15" s="185">
        <f t="shared" si="7"/>
        <v>5250</v>
      </c>
      <c r="J15" s="185">
        <f t="shared" si="7"/>
        <v>5250</v>
      </c>
      <c r="K15" s="185">
        <f t="shared" si="7"/>
        <v>5250</v>
      </c>
      <c r="L15" s="185">
        <f t="shared" si="7"/>
        <v>5250</v>
      </c>
      <c r="M15" s="185">
        <f t="shared" si="7"/>
        <v>5250</v>
      </c>
      <c r="N15" s="185">
        <f t="shared" si="7"/>
        <v>5250</v>
      </c>
      <c r="O15" s="185">
        <f t="shared" si="7"/>
        <v>5250</v>
      </c>
      <c r="P15" s="185">
        <f t="shared" si="7"/>
        <v>5250</v>
      </c>
      <c r="Q15" s="185">
        <f t="shared" si="7"/>
        <v>5250</v>
      </c>
      <c r="R15" s="185">
        <f t="shared" si="7"/>
        <v>5250</v>
      </c>
      <c r="S15" s="185">
        <f t="shared" si="2"/>
        <v>63000</v>
      </c>
      <c r="U15" s="185">
        <f t="shared" ref="U15:AF15" si="8">63000/12</f>
        <v>5250</v>
      </c>
      <c r="V15" s="185">
        <f t="shared" si="8"/>
        <v>5250</v>
      </c>
      <c r="W15" s="185">
        <f t="shared" si="8"/>
        <v>5250</v>
      </c>
      <c r="X15" s="185">
        <f t="shared" si="8"/>
        <v>5250</v>
      </c>
      <c r="Y15" s="185">
        <f t="shared" si="8"/>
        <v>5250</v>
      </c>
      <c r="Z15" s="185">
        <f t="shared" si="8"/>
        <v>5250</v>
      </c>
      <c r="AA15" s="185">
        <f t="shared" si="8"/>
        <v>5250</v>
      </c>
      <c r="AB15" s="185">
        <f t="shared" si="8"/>
        <v>5250</v>
      </c>
      <c r="AC15" s="185">
        <f t="shared" si="8"/>
        <v>5250</v>
      </c>
      <c r="AD15" s="185">
        <f t="shared" si="8"/>
        <v>5250</v>
      </c>
      <c r="AE15" s="185">
        <f t="shared" si="8"/>
        <v>5250</v>
      </c>
      <c r="AF15" s="185">
        <f t="shared" si="8"/>
        <v>5250</v>
      </c>
      <c r="AG15" s="185">
        <f t="shared" si="3"/>
        <v>63000</v>
      </c>
    </row>
    <row r="16" spans="1:33">
      <c r="A16" s="208"/>
      <c r="B16" s="208">
        <v>9</v>
      </c>
      <c r="C16" s="185">
        <v>1000</v>
      </c>
      <c r="D16" s="185">
        <f t="shared" si="4"/>
        <v>20</v>
      </c>
      <c r="E16" s="185">
        <f>20000</f>
        <v>20000</v>
      </c>
      <c r="G16" s="185">
        <v>20000</v>
      </c>
      <c r="H16" s="185">
        <v>20000</v>
      </c>
      <c r="I16" s="185">
        <v>20000</v>
      </c>
      <c r="J16" s="185">
        <v>20000</v>
      </c>
      <c r="K16" s="185">
        <v>20000</v>
      </c>
      <c r="L16" s="185">
        <v>20000</v>
      </c>
      <c r="M16" s="185">
        <f>20000</f>
        <v>20000</v>
      </c>
      <c r="N16" s="185">
        <f>20000</f>
        <v>20000</v>
      </c>
      <c r="O16" s="185">
        <f>20000</f>
        <v>20000</v>
      </c>
      <c r="P16" s="185">
        <f>20000</f>
        <v>20000</v>
      </c>
      <c r="Q16" s="185">
        <f>20000</f>
        <v>20000</v>
      </c>
      <c r="R16" s="185">
        <f>20000</f>
        <v>20000</v>
      </c>
      <c r="S16" s="185">
        <f t="shared" si="2"/>
        <v>240000</v>
      </c>
      <c r="U16" s="185">
        <f>20000</f>
        <v>20000</v>
      </c>
      <c r="V16" s="185">
        <f>20000</f>
        <v>20000</v>
      </c>
      <c r="W16" s="185">
        <f>20000</f>
        <v>20000</v>
      </c>
      <c r="X16" s="185">
        <f>20000</f>
        <v>20000</v>
      </c>
      <c r="Y16" s="185">
        <f>20000</f>
        <v>20000</v>
      </c>
      <c r="Z16" s="185">
        <f>20000</f>
        <v>20000</v>
      </c>
      <c r="AA16" s="185">
        <f>20000</f>
        <v>20000</v>
      </c>
      <c r="AB16" s="185">
        <f>20000</f>
        <v>20000</v>
      </c>
      <c r="AC16" s="185">
        <f>20000</f>
        <v>20000</v>
      </c>
      <c r="AD16" s="185">
        <f>20000</f>
        <v>20000</v>
      </c>
      <c r="AE16" s="185">
        <f>20000</f>
        <v>20000</v>
      </c>
      <c r="AF16" s="185">
        <f>20000</f>
        <v>20000</v>
      </c>
      <c r="AG16" s="185">
        <f t="shared" si="3"/>
        <v>240000</v>
      </c>
    </row>
    <row r="17" spans="1:33">
      <c r="A17" s="208"/>
      <c r="B17" s="208" t="s">
        <v>196</v>
      </c>
      <c r="C17" s="185">
        <v>1279.3499999999999</v>
      </c>
      <c r="D17" s="185">
        <v>20</v>
      </c>
      <c r="E17" s="185">
        <f>D17*C17</f>
        <v>25587</v>
      </c>
      <c r="G17" s="185">
        <v>25587</v>
      </c>
      <c r="H17" s="185">
        <v>25587</v>
      </c>
      <c r="I17" s="185">
        <v>25587</v>
      </c>
      <c r="J17" s="185">
        <v>25587</v>
      </c>
      <c r="K17" s="185">
        <v>25587</v>
      </c>
      <c r="L17" s="185">
        <v>25587</v>
      </c>
      <c r="M17" s="185"/>
      <c r="N17" s="185"/>
      <c r="O17" s="185"/>
      <c r="P17" s="185"/>
      <c r="Q17" s="185"/>
      <c r="R17" s="185"/>
      <c r="S17" s="185">
        <f t="shared" si="2"/>
        <v>153522</v>
      </c>
      <c r="U17" s="185"/>
      <c r="V17" s="185"/>
      <c r="W17" s="185"/>
      <c r="X17" s="488"/>
      <c r="Y17" s="488"/>
      <c r="Z17" s="488"/>
      <c r="AA17" s="488"/>
      <c r="AB17" s="488"/>
      <c r="AC17" s="488"/>
      <c r="AD17" s="488"/>
      <c r="AE17" s="488"/>
      <c r="AF17" s="488"/>
      <c r="AG17" s="185">
        <f t="shared" si="3"/>
        <v>0</v>
      </c>
    </row>
    <row r="18" spans="1:33">
      <c r="A18" s="208"/>
      <c r="B18" s="208" t="s">
        <v>197</v>
      </c>
      <c r="C18" s="185"/>
      <c r="D18" s="185" t="e">
        <f t="shared" si="4"/>
        <v>#DIV/0!</v>
      </c>
      <c r="E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>
        <f t="shared" si="2"/>
        <v>0</v>
      </c>
      <c r="U18" s="185"/>
      <c r="V18" s="185"/>
      <c r="W18" s="185"/>
      <c r="X18" s="488"/>
      <c r="Y18" s="488"/>
      <c r="Z18" s="488"/>
      <c r="AA18" s="488"/>
      <c r="AB18" s="488"/>
      <c r="AC18" s="488"/>
      <c r="AD18" s="488"/>
      <c r="AE18" s="488"/>
      <c r="AF18" s="488"/>
      <c r="AG18" s="185">
        <f t="shared" si="3"/>
        <v>0</v>
      </c>
    </row>
    <row r="19" spans="1:33">
      <c r="A19" s="208"/>
      <c r="B19" s="208" t="s">
        <v>198</v>
      </c>
      <c r="C19" s="185"/>
      <c r="D19" s="185" t="e">
        <f t="shared" si="4"/>
        <v>#DIV/0!</v>
      </c>
      <c r="E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>
        <f t="shared" si="2"/>
        <v>0</v>
      </c>
      <c r="U19" s="185"/>
      <c r="V19" s="185"/>
      <c r="W19" s="185"/>
      <c r="X19" s="488"/>
      <c r="Y19" s="488"/>
      <c r="Z19" s="488"/>
      <c r="AA19" s="488"/>
      <c r="AB19" s="488"/>
      <c r="AC19" s="488"/>
      <c r="AD19" s="488"/>
      <c r="AE19" s="488"/>
      <c r="AF19" s="488"/>
      <c r="AG19" s="185">
        <f t="shared" si="3"/>
        <v>0</v>
      </c>
    </row>
    <row r="20" spans="1:33">
      <c r="A20" s="208"/>
      <c r="B20" s="208" t="s">
        <v>199</v>
      </c>
      <c r="C20" s="185"/>
      <c r="D20" s="185" t="e">
        <f t="shared" si="4"/>
        <v>#DIV/0!</v>
      </c>
      <c r="E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>
        <f t="shared" si="2"/>
        <v>0</v>
      </c>
      <c r="U20" s="185"/>
      <c r="V20" s="185"/>
      <c r="W20" s="185"/>
      <c r="X20" s="488"/>
      <c r="Y20" s="488"/>
      <c r="Z20" s="488"/>
      <c r="AA20" s="488"/>
      <c r="AB20" s="488"/>
      <c r="AC20" s="488"/>
      <c r="AD20" s="488"/>
      <c r="AE20" s="488"/>
      <c r="AF20" s="488"/>
      <c r="AG20" s="185">
        <f t="shared" si="3"/>
        <v>0</v>
      </c>
    </row>
    <row r="21" spans="1:33">
      <c r="A21" s="208"/>
      <c r="B21" s="208" t="s">
        <v>200</v>
      </c>
      <c r="C21" s="185"/>
      <c r="D21" s="185" t="e">
        <f t="shared" si="4"/>
        <v>#DIV/0!</v>
      </c>
      <c r="E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>
        <f t="shared" si="2"/>
        <v>0</v>
      </c>
      <c r="U21" s="185"/>
      <c r="V21" s="185"/>
      <c r="W21" s="185"/>
      <c r="X21" s="488"/>
      <c r="Y21" s="488"/>
      <c r="Z21" s="488"/>
      <c r="AA21" s="488"/>
      <c r="AB21" s="488"/>
      <c r="AC21" s="488"/>
      <c r="AD21" s="488"/>
      <c r="AE21" s="488"/>
      <c r="AF21" s="488"/>
      <c r="AG21" s="185">
        <f t="shared" si="3"/>
        <v>0</v>
      </c>
    </row>
    <row r="22" spans="1:33">
      <c r="A22" s="208"/>
      <c r="B22" s="208" t="s">
        <v>201</v>
      </c>
      <c r="C22" s="185"/>
      <c r="D22" s="185" t="e">
        <f t="shared" si="4"/>
        <v>#DIV/0!</v>
      </c>
      <c r="E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>
        <f t="shared" si="2"/>
        <v>0</v>
      </c>
      <c r="U22" s="185"/>
      <c r="V22" s="185"/>
      <c r="W22" s="185"/>
      <c r="X22" s="488"/>
      <c r="Y22" s="488"/>
      <c r="Z22" s="488"/>
      <c r="AA22" s="488"/>
      <c r="AB22" s="488"/>
      <c r="AC22" s="488"/>
      <c r="AD22" s="488"/>
      <c r="AE22" s="488"/>
      <c r="AF22" s="488"/>
      <c r="AG22" s="185">
        <f t="shared" si="3"/>
        <v>0</v>
      </c>
    </row>
    <row r="23" spans="1:33" ht="15.75" thickBot="1">
      <c r="A23" s="189"/>
      <c r="B23" s="189"/>
      <c r="C23" s="190"/>
      <c r="D23" s="190"/>
      <c r="E23" s="190"/>
      <c r="F23" s="45"/>
      <c r="G23" s="190"/>
      <c r="H23" s="190"/>
      <c r="I23" s="190"/>
      <c r="J23" s="190"/>
      <c r="K23" s="190"/>
      <c r="L23" s="190"/>
      <c r="M23" s="190"/>
      <c r="N23" s="190"/>
      <c r="O23" s="190"/>
      <c r="P23" s="191"/>
      <c r="Q23" s="191"/>
      <c r="R23" s="191"/>
      <c r="S23" s="191">
        <f t="shared" si="2"/>
        <v>0</v>
      </c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>
        <f t="shared" si="3"/>
        <v>0</v>
      </c>
    </row>
    <row r="24" spans="1:33" s="122" customFormat="1" ht="15.75" thickTop="1">
      <c r="A24" s="460"/>
      <c r="B24" s="460" t="s">
        <v>454</v>
      </c>
      <c r="C24" s="188">
        <v>167651.14000000001</v>
      </c>
      <c r="D24" s="188">
        <v>136331.57500000001</v>
      </c>
      <c r="E24" s="188">
        <v>83023.403333333335</v>
      </c>
      <c r="G24" s="188">
        <f>SUM(G8:G23)</f>
        <v>71023.666666666657</v>
      </c>
      <c r="H24" s="188">
        <f t="shared" ref="H24:R24" si="9">SUM(H8:H23)</f>
        <v>71023.666666666657</v>
      </c>
      <c r="I24" s="188">
        <f t="shared" si="9"/>
        <v>83023.666666666657</v>
      </c>
      <c r="J24" s="188">
        <f t="shared" si="9"/>
        <v>83023.666666666657</v>
      </c>
      <c r="K24" s="188">
        <f t="shared" si="9"/>
        <v>83023.666666666657</v>
      </c>
      <c r="L24" s="188">
        <f t="shared" si="9"/>
        <v>83023.666666666657</v>
      </c>
      <c r="M24" s="188">
        <f t="shared" si="9"/>
        <v>57436.666666666664</v>
      </c>
      <c r="N24" s="188">
        <f t="shared" si="9"/>
        <v>57436.666666666664</v>
      </c>
      <c r="O24" s="188">
        <f t="shared" si="9"/>
        <v>57436.666666666664</v>
      </c>
      <c r="P24" s="188">
        <f t="shared" si="9"/>
        <v>57436.666666666664</v>
      </c>
      <c r="Q24" s="188">
        <f t="shared" si="9"/>
        <v>57436.666666666664</v>
      </c>
      <c r="R24" s="188">
        <f t="shared" si="9"/>
        <v>57436.666666666664</v>
      </c>
      <c r="S24" s="188">
        <f t="shared" si="2"/>
        <v>818761.99999999965</v>
      </c>
      <c r="U24" s="188">
        <f t="shared" ref="U24:AF24" si="10">SUM(U8:U23)</f>
        <v>57436.666666666664</v>
      </c>
      <c r="V24" s="188">
        <f t="shared" si="10"/>
        <v>57436.666666666664</v>
      </c>
      <c r="W24" s="188">
        <f t="shared" si="10"/>
        <v>57436.666666666664</v>
      </c>
      <c r="X24" s="188">
        <f t="shared" si="10"/>
        <v>57436.666666666664</v>
      </c>
      <c r="Y24" s="188">
        <f t="shared" si="10"/>
        <v>46836.666666666664</v>
      </c>
      <c r="Z24" s="188">
        <f t="shared" si="10"/>
        <v>46836.666666666664</v>
      </c>
      <c r="AA24" s="188">
        <f t="shared" si="10"/>
        <v>46836.666666666664</v>
      </c>
      <c r="AB24" s="188">
        <f t="shared" si="10"/>
        <v>46836.666666666664</v>
      </c>
      <c r="AC24" s="188">
        <f t="shared" si="10"/>
        <v>46836.666666666664</v>
      </c>
      <c r="AD24" s="188">
        <f t="shared" si="10"/>
        <v>46836.666666666664</v>
      </c>
      <c r="AE24" s="188">
        <f t="shared" si="10"/>
        <v>46836.666666666664</v>
      </c>
      <c r="AF24" s="188">
        <f t="shared" si="10"/>
        <v>46836.666666666664</v>
      </c>
      <c r="AG24" s="188">
        <f t="shared" si="3"/>
        <v>604440</v>
      </c>
    </row>
    <row r="25" spans="1:33" s="150" customFormat="1">
      <c r="F25" s="151"/>
    </row>
    <row r="26" spans="1:33" s="150" customFormat="1">
      <c r="A26" s="461"/>
      <c r="B26" s="461"/>
      <c r="C26" s="462"/>
      <c r="D26" s="462"/>
      <c r="E26" s="462"/>
      <c r="F26" s="151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</row>
    <row r="27" spans="1:33" s="150" customFormat="1">
      <c r="A27" s="461"/>
      <c r="B27" s="461"/>
      <c r="C27" s="462"/>
      <c r="D27" s="462"/>
      <c r="E27" s="462"/>
      <c r="F27" s="151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</row>
    <row r="28" spans="1:33" s="465" customFormat="1">
      <c r="A28" s="463"/>
      <c r="B28" s="463"/>
      <c r="C28" s="464"/>
      <c r="D28" s="464"/>
      <c r="E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</row>
  </sheetData>
  <pageMargins left="0.35433070866141736" right="0.35433070866141736" top="0.98425196850393704" bottom="0.59055118110236227" header="0.51181102362204722" footer="0.51181102362204722"/>
  <pageSetup paperSize="9" scale="6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P71"/>
  <sheetViews>
    <sheetView showGridLines="0" topLeftCell="B2" workbookViewId="0">
      <selection activeCell="L29" sqref="L29"/>
    </sheetView>
  </sheetViews>
  <sheetFormatPr defaultColWidth="10.85546875" defaultRowHeight="15.75" outlineLevelRow="1" outlineLevelCol="1"/>
  <cols>
    <col min="1" max="1" width="14.7109375" style="241" customWidth="1"/>
    <col min="2" max="2" width="60.140625" style="241" customWidth="1"/>
    <col min="3" max="3" width="12.28515625" style="241" customWidth="1" outlineLevel="1"/>
    <col min="4" max="4" width="22.140625" style="254" customWidth="1" outlineLevel="1"/>
    <col min="5" max="5" width="15.140625" style="258" bestFit="1" customWidth="1"/>
    <col min="6" max="6" width="12.85546875" style="241" customWidth="1"/>
    <col min="7" max="7" width="10.140625" style="1" customWidth="1" outlineLevel="1"/>
    <col min="8" max="16" width="11.42578125" style="1" customWidth="1" outlineLevel="1"/>
    <col min="17" max="17" width="11.42578125" style="1" customWidth="1" outlineLevel="1" collapsed="1"/>
    <col min="18" max="18" width="12.42578125" style="1" customWidth="1" outlineLevel="1"/>
    <col min="19" max="19" width="13.7109375" style="1" customWidth="1"/>
    <col min="20" max="20" width="2.42578125" style="1" customWidth="1"/>
    <col min="21" max="21" width="12.42578125" style="1" hidden="1" customWidth="1" outlineLevel="1"/>
    <col min="22" max="22" width="11.42578125" style="1" hidden="1" customWidth="1" outlineLevel="1"/>
    <col min="23" max="23" width="14.42578125" style="1" hidden="1" customWidth="1" outlineLevel="1"/>
    <col min="24" max="25" width="11.42578125" style="1" hidden="1" customWidth="1" outlineLevel="1"/>
    <col min="26" max="26" width="14.42578125" style="1" hidden="1" customWidth="1" outlineLevel="1"/>
    <col min="27" max="28" width="11.42578125" style="1" hidden="1" customWidth="1" outlineLevel="1"/>
    <col min="29" max="29" width="14.42578125" style="1" hidden="1" customWidth="1" outlineLevel="1"/>
    <col min="30" max="31" width="11.42578125" style="1" hidden="1" customWidth="1" outlineLevel="1"/>
    <col min="32" max="32" width="14.42578125" style="1" hidden="1" customWidth="1" outlineLevel="1"/>
    <col min="33" max="33" width="16.140625" style="1" customWidth="1" collapsed="1"/>
    <col min="34" max="37" width="15.7109375" style="1" customWidth="1"/>
    <col min="38" max="38" width="16.140625" style="1" customWidth="1"/>
    <col min="39" max="39" width="13" style="1" customWidth="1"/>
    <col min="40" max="16384" width="10.85546875" style="1"/>
  </cols>
  <sheetData>
    <row r="1" spans="1:42" outlineLevel="1">
      <c r="D1" s="250"/>
      <c r="E1" s="255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42" outlineLevel="1">
      <c r="D2" s="250"/>
      <c r="E2" s="255"/>
      <c r="F2" s="88"/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  <c r="AH2" s="350">
        <v>43830</v>
      </c>
      <c r="AI2" s="350">
        <v>44196</v>
      </c>
      <c r="AJ2" s="350">
        <v>44561</v>
      </c>
      <c r="AK2" s="350">
        <v>44926</v>
      </c>
      <c r="AL2" s="1" t="s">
        <v>405</v>
      </c>
      <c r="AM2" s="350">
        <v>43830</v>
      </c>
      <c r="AN2" s="350">
        <v>44196</v>
      </c>
      <c r="AO2" s="350">
        <v>44561</v>
      </c>
      <c r="AP2" s="350">
        <v>44926</v>
      </c>
    </row>
    <row r="3" spans="1:42" outlineLevel="1">
      <c r="A3" s="242" t="s">
        <v>232</v>
      </c>
      <c r="D3" s="250"/>
      <c r="E3" s="255"/>
      <c r="F3" s="88"/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42" ht="45.75" outlineLevel="1">
      <c r="A4" s="243" t="s">
        <v>231</v>
      </c>
      <c r="B4" s="243" t="s">
        <v>248</v>
      </c>
      <c r="C4" s="243" t="s">
        <v>218</v>
      </c>
      <c r="D4" s="251" t="s">
        <v>220</v>
      </c>
      <c r="E4" s="256" t="s">
        <v>219</v>
      </c>
      <c r="F4" s="243" t="s">
        <v>257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42" outlineLevel="1">
      <c r="A5" s="248" t="s">
        <v>250</v>
      </c>
      <c r="B5" s="246" t="s">
        <v>455</v>
      </c>
      <c r="C5" s="248">
        <v>2200</v>
      </c>
      <c r="D5" s="246" t="s">
        <v>456</v>
      </c>
      <c r="E5" s="247">
        <v>1000000</v>
      </c>
      <c r="F5" s="316">
        <v>30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" si="0">SUM(G5:R5)</f>
        <v>0</v>
      </c>
      <c r="T5" s="96"/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f>E5</f>
        <v>1000000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" si="1">SUM(U5:AF5)</f>
        <v>1000000</v>
      </c>
    </row>
    <row r="6" spans="1:42" outlineLevel="1">
      <c r="A6" s="248" t="s">
        <v>250</v>
      </c>
      <c r="B6" s="246" t="s">
        <v>249</v>
      </c>
      <c r="C6" s="248">
        <v>2200</v>
      </c>
      <c r="D6" s="246" t="s">
        <v>456</v>
      </c>
      <c r="E6" s="247">
        <v>2500000</v>
      </c>
      <c r="F6" s="316">
        <v>30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ref="S6" si="2">SUM(G6:R6)</f>
        <v>0</v>
      </c>
      <c r="T6" s="96"/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f>E6</f>
        <v>2500000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ref="AG6" si="3">SUM(U6:AF6)</f>
        <v>2500000</v>
      </c>
    </row>
    <row r="7" spans="1:42" outlineLevel="1">
      <c r="A7" s="248" t="s">
        <v>404</v>
      </c>
      <c r="B7" s="246" t="s">
        <v>415</v>
      </c>
      <c r="C7" s="248">
        <v>6100</v>
      </c>
      <c r="D7" s="246" t="s">
        <v>65</v>
      </c>
      <c r="E7" s="247">
        <v>200000</v>
      </c>
      <c r="F7" s="316">
        <v>5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ref="S7:S8" si="4">SUM(G7:R7)</f>
        <v>0</v>
      </c>
      <c r="T7" s="96"/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f>E7</f>
        <v>200000</v>
      </c>
      <c r="AD7" s="41">
        <v>0</v>
      </c>
      <c r="AE7" s="41">
        <v>0</v>
      </c>
      <c r="AF7" s="41">
        <v>0</v>
      </c>
      <c r="AG7" s="41">
        <f t="shared" ref="AG7:AG8" si="5">SUM(U7:AF7)</f>
        <v>200000</v>
      </c>
    </row>
    <row r="8" spans="1:42" outlineLevel="1">
      <c r="A8" s="248" t="s">
        <v>403</v>
      </c>
      <c r="B8" s="246" t="s">
        <v>538</v>
      </c>
      <c r="C8" s="248">
        <v>3100</v>
      </c>
      <c r="D8" s="246" t="s">
        <v>63</v>
      </c>
      <c r="E8" s="247">
        <f>900000+300000</f>
        <v>1200000</v>
      </c>
      <c r="F8" s="316">
        <v>5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4"/>
        <v>0</v>
      </c>
      <c r="T8" s="96"/>
      <c r="U8" s="41">
        <v>0</v>
      </c>
      <c r="V8" s="41">
        <v>0</v>
      </c>
      <c r="W8" s="41">
        <f>E8</f>
        <v>1200000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5"/>
        <v>1200000</v>
      </c>
    </row>
    <row r="9" spans="1:42" outlineLevel="1">
      <c r="C9" s="242" t="s">
        <v>57</v>
      </c>
      <c r="D9" s="250"/>
      <c r="E9" s="357">
        <f>SUM(E5:E8)</f>
        <v>4900000</v>
      </c>
      <c r="F9" s="88"/>
      <c r="G9" s="128">
        <f t="shared" ref="G9:S9" si="6">SUM(G5:G8)</f>
        <v>0</v>
      </c>
      <c r="H9" s="128">
        <f t="shared" si="6"/>
        <v>0</v>
      </c>
      <c r="I9" s="128">
        <f t="shared" si="6"/>
        <v>0</v>
      </c>
      <c r="J9" s="128">
        <f t="shared" si="6"/>
        <v>0</v>
      </c>
      <c r="K9" s="128">
        <f t="shared" si="6"/>
        <v>0</v>
      </c>
      <c r="L9" s="128">
        <f t="shared" si="6"/>
        <v>0</v>
      </c>
      <c r="M9" s="128">
        <f t="shared" si="6"/>
        <v>0</v>
      </c>
      <c r="N9" s="128">
        <f t="shared" si="6"/>
        <v>0</v>
      </c>
      <c r="O9" s="128">
        <f t="shared" si="6"/>
        <v>0</v>
      </c>
      <c r="P9" s="128">
        <f t="shared" si="6"/>
        <v>0</v>
      </c>
      <c r="Q9" s="128">
        <f t="shared" si="6"/>
        <v>0</v>
      </c>
      <c r="R9" s="128">
        <f t="shared" si="6"/>
        <v>0</v>
      </c>
      <c r="S9" s="128">
        <f t="shared" si="6"/>
        <v>0</v>
      </c>
      <c r="T9" s="128"/>
      <c r="U9" s="128">
        <f t="shared" ref="U9:AP9" si="7">SUM(U5:U8)</f>
        <v>0</v>
      </c>
      <c r="V9" s="128">
        <f t="shared" si="7"/>
        <v>0</v>
      </c>
      <c r="W9" s="128">
        <f t="shared" si="7"/>
        <v>1200000</v>
      </c>
      <c r="X9" s="128">
        <f t="shared" si="7"/>
        <v>0</v>
      </c>
      <c r="Y9" s="128">
        <f t="shared" si="7"/>
        <v>0</v>
      </c>
      <c r="Z9" s="128">
        <f t="shared" si="7"/>
        <v>3500000</v>
      </c>
      <c r="AA9" s="128">
        <f t="shared" si="7"/>
        <v>0</v>
      </c>
      <c r="AB9" s="128">
        <f t="shared" si="7"/>
        <v>0</v>
      </c>
      <c r="AC9" s="128">
        <f t="shared" si="7"/>
        <v>200000</v>
      </c>
      <c r="AD9" s="128">
        <f t="shared" si="7"/>
        <v>0</v>
      </c>
      <c r="AE9" s="128">
        <f t="shared" si="7"/>
        <v>0</v>
      </c>
      <c r="AF9" s="128">
        <f t="shared" si="7"/>
        <v>0</v>
      </c>
      <c r="AG9" s="128">
        <f t="shared" si="7"/>
        <v>4900000</v>
      </c>
      <c r="AH9" s="128">
        <f t="shared" si="7"/>
        <v>0</v>
      </c>
      <c r="AI9" s="128">
        <f t="shared" si="7"/>
        <v>0</v>
      </c>
      <c r="AJ9" s="128">
        <f t="shared" si="7"/>
        <v>0</v>
      </c>
      <c r="AK9" s="128">
        <f t="shared" si="7"/>
        <v>0</v>
      </c>
      <c r="AL9" s="128">
        <f t="shared" si="7"/>
        <v>0</v>
      </c>
      <c r="AM9" s="128">
        <f t="shared" si="7"/>
        <v>0</v>
      </c>
      <c r="AN9" s="128">
        <f t="shared" si="7"/>
        <v>0</v>
      </c>
      <c r="AO9" s="128">
        <f t="shared" si="7"/>
        <v>0</v>
      </c>
      <c r="AP9" s="128">
        <f t="shared" si="7"/>
        <v>0</v>
      </c>
    </row>
    <row r="10" spans="1:42" outlineLevel="1">
      <c r="D10" s="250"/>
      <c r="E10" s="255"/>
      <c r="F10" s="88"/>
      <c r="AL10" s="356"/>
    </row>
    <row r="11" spans="1:42">
      <c r="D11" s="250"/>
      <c r="E11" s="255"/>
      <c r="F11" s="88"/>
    </row>
    <row r="12" spans="1:42" outlineLevel="1">
      <c r="D12" s="250"/>
      <c r="E12" s="255"/>
      <c r="F12" s="88"/>
      <c r="G12" s="114">
        <v>42736</v>
      </c>
      <c r="H12" s="114">
        <v>42767</v>
      </c>
      <c r="I12" s="114">
        <v>42795</v>
      </c>
      <c r="J12" s="114">
        <v>42826</v>
      </c>
      <c r="K12" s="114">
        <v>42856</v>
      </c>
      <c r="L12" s="114">
        <v>42887</v>
      </c>
      <c r="M12" s="114">
        <v>42917</v>
      </c>
      <c r="N12" s="114">
        <v>42948</v>
      </c>
      <c r="O12" s="114">
        <v>42979</v>
      </c>
      <c r="P12" s="91">
        <v>43009</v>
      </c>
      <c r="Q12" s="91">
        <v>43040</v>
      </c>
      <c r="R12" s="91">
        <v>43070</v>
      </c>
      <c r="S12" s="112">
        <v>2017</v>
      </c>
      <c r="T12" s="87"/>
      <c r="U12" s="89">
        <v>43101</v>
      </c>
      <c r="V12" s="89">
        <v>43132</v>
      </c>
      <c r="W12" s="89">
        <v>43160</v>
      </c>
      <c r="X12" s="89">
        <v>43191</v>
      </c>
      <c r="Y12" s="89">
        <v>43221</v>
      </c>
      <c r="Z12" s="89">
        <v>43252</v>
      </c>
      <c r="AA12" s="89">
        <v>43282</v>
      </c>
      <c r="AB12" s="89">
        <v>43313</v>
      </c>
      <c r="AC12" s="89">
        <v>43344</v>
      </c>
      <c r="AD12" s="89">
        <v>43374</v>
      </c>
      <c r="AE12" s="89">
        <v>43405</v>
      </c>
      <c r="AF12" s="89">
        <v>43435</v>
      </c>
      <c r="AG12" s="113">
        <v>2018</v>
      </c>
    </row>
    <row r="13" spans="1:42" outlineLevel="1">
      <c r="A13" s="242" t="s">
        <v>400</v>
      </c>
      <c r="D13" s="250"/>
      <c r="E13" s="255"/>
      <c r="F13" s="88"/>
      <c r="G13" s="115" t="s">
        <v>130</v>
      </c>
      <c r="H13" s="115" t="s">
        <v>130</v>
      </c>
      <c r="I13" s="115" t="s">
        <v>130</v>
      </c>
      <c r="J13" s="115" t="s">
        <v>130</v>
      </c>
      <c r="K13" s="115" t="s">
        <v>130</v>
      </c>
      <c r="L13" s="115" t="s">
        <v>130</v>
      </c>
      <c r="M13" s="115" t="s">
        <v>130</v>
      </c>
      <c r="N13" s="115" t="s">
        <v>130</v>
      </c>
      <c r="O13" s="115" t="s">
        <v>130</v>
      </c>
      <c r="P13" s="94" t="s">
        <v>130</v>
      </c>
      <c r="Q13" s="94" t="s">
        <v>130</v>
      </c>
      <c r="R13" s="94" t="s">
        <v>130</v>
      </c>
      <c r="S13" s="94" t="s">
        <v>0</v>
      </c>
      <c r="T13" s="87"/>
      <c r="U13" s="93" t="s">
        <v>130</v>
      </c>
      <c r="V13" s="93" t="s">
        <v>130</v>
      </c>
      <c r="W13" s="93" t="s">
        <v>130</v>
      </c>
      <c r="X13" s="93" t="s">
        <v>130</v>
      </c>
      <c r="Y13" s="93" t="s">
        <v>130</v>
      </c>
      <c r="Z13" s="93" t="s">
        <v>130</v>
      </c>
      <c r="AA13" s="93" t="s">
        <v>130</v>
      </c>
      <c r="AB13" s="93" t="s">
        <v>130</v>
      </c>
      <c r="AC13" s="93" t="s">
        <v>130</v>
      </c>
      <c r="AD13" s="93" t="s">
        <v>130</v>
      </c>
      <c r="AE13" s="93" t="s">
        <v>130</v>
      </c>
      <c r="AF13" s="93" t="s">
        <v>130</v>
      </c>
      <c r="AG13" s="93" t="s">
        <v>0</v>
      </c>
    </row>
    <row r="14" spans="1:42" ht="45.75" outlineLevel="1">
      <c r="A14" s="243" t="s">
        <v>231</v>
      </c>
      <c r="B14" s="243" t="s">
        <v>248</v>
      </c>
      <c r="C14" s="243" t="s">
        <v>218</v>
      </c>
      <c r="D14" s="251" t="s">
        <v>220</v>
      </c>
      <c r="E14" s="256" t="s">
        <v>219</v>
      </c>
      <c r="F14" s="243" t="s">
        <v>257</v>
      </c>
      <c r="G14" s="116" t="s">
        <v>79</v>
      </c>
      <c r="H14" s="116" t="s">
        <v>79</v>
      </c>
      <c r="I14" s="116" t="s">
        <v>79</v>
      </c>
      <c r="J14" s="116" t="s">
        <v>79</v>
      </c>
      <c r="K14" s="116" t="s">
        <v>79</v>
      </c>
      <c r="L14" s="116" t="s">
        <v>79</v>
      </c>
      <c r="M14" s="116" t="s">
        <v>79</v>
      </c>
      <c r="N14" s="116" t="s">
        <v>79</v>
      </c>
      <c r="O14" s="116" t="s">
        <v>79</v>
      </c>
      <c r="P14" s="95" t="s">
        <v>131</v>
      </c>
      <c r="Q14" s="95" t="s">
        <v>131</v>
      </c>
      <c r="R14" s="95" t="s">
        <v>131</v>
      </c>
      <c r="S14" s="95" t="s">
        <v>131</v>
      </c>
      <c r="T14" s="87"/>
      <c r="U14" s="38" t="s">
        <v>132</v>
      </c>
      <c r="V14" s="38" t="s">
        <v>132</v>
      </c>
      <c r="W14" s="38" t="s">
        <v>132</v>
      </c>
      <c r="X14" s="38" t="s">
        <v>132</v>
      </c>
      <c r="Y14" s="38" t="s">
        <v>132</v>
      </c>
      <c r="Z14" s="38" t="s">
        <v>132</v>
      </c>
      <c r="AA14" s="38" t="s">
        <v>132</v>
      </c>
      <c r="AB14" s="38" t="s">
        <v>132</v>
      </c>
      <c r="AC14" s="38" t="s">
        <v>132</v>
      </c>
      <c r="AD14" s="38" t="s">
        <v>132</v>
      </c>
      <c r="AE14" s="38" t="s">
        <v>132</v>
      </c>
      <c r="AF14" s="38" t="s">
        <v>132</v>
      </c>
      <c r="AG14" s="38" t="s">
        <v>133</v>
      </c>
    </row>
    <row r="15" spans="1:42" outlineLevel="1">
      <c r="A15" s="314" t="str">
        <f t="shared" ref="A15:F18" si="8">A5</f>
        <v>2018 2q</v>
      </c>
      <c r="B15" s="315" t="str">
        <f t="shared" si="8"/>
        <v>Vývojové centrum - I</v>
      </c>
      <c r="C15" s="314">
        <f t="shared" si="8"/>
        <v>2200</v>
      </c>
      <c r="D15" s="315" t="str">
        <f t="shared" si="8"/>
        <v>areal1</v>
      </c>
      <c r="E15" s="355">
        <f t="shared" si="8"/>
        <v>1000000</v>
      </c>
      <c r="F15" s="287">
        <f t="shared" si="8"/>
        <v>30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ref="S15:S18" si="9">SUM(G15:R15)</f>
        <v>0</v>
      </c>
      <c r="T15" s="96"/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41">
        <f t="shared" ref="Z15:AF16" si="10">IF($F15=0,0,$E15/$F15/12)</f>
        <v>2777.7777777777778</v>
      </c>
      <c r="AA15" s="41">
        <f t="shared" si="10"/>
        <v>2777.7777777777778</v>
      </c>
      <c r="AB15" s="41">
        <f t="shared" si="10"/>
        <v>2777.7777777777778</v>
      </c>
      <c r="AC15" s="41">
        <f t="shared" si="10"/>
        <v>2777.7777777777778</v>
      </c>
      <c r="AD15" s="41">
        <f t="shared" si="10"/>
        <v>2777.7777777777778</v>
      </c>
      <c r="AE15" s="41">
        <f t="shared" si="10"/>
        <v>2777.7777777777778</v>
      </c>
      <c r="AF15" s="41">
        <f t="shared" si="10"/>
        <v>2777.7777777777778</v>
      </c>
      <c r="AG15" s="41">
        <f t="shared" ref="AG15:AG18" si="11">SUM(U15:AF15)</f>
        <v>19444.444444444445</v>
      </c>
    </row>
    <row r="16" spans="1:42" outlineLevel="1">
      <c r="A16" s="314" t="str">
        <f t="shared" si="8"/>
        <v>2018 2q</v>
      </c>
      <c r="B16" s="315" t="str">
        <f t="shared" si="8"/>
        <v>Rekonstrukce výrobní haly - I</v>
      </c>
      <c r="C16" s="314">
        <f t="shared" si="8"/>
        <v>2200</v>
      </c>
      <c r="D16" s="315" t="str">
        <f t="shared" si="8"/>
        <v>areal1</v>
      </c>
      <c r="E16" s="355">
        <f t="shared" si="8"/>
        <v>2500000</v>
      </c>
      <c r="F16" s="287">
        <f t="shared" si="8"/>
        <v>30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ref="S16" si="12">SUM(G16:R16)</f>
        <v>0</v>
      </c>
      <c r="T16" s="96"/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41">
        <f t="shared" si="10"/>
        <v>6944.4444444444443</v>
      </c>
      <c r="AA16" s="41">
        <f t="shared" si="10"/>
        <v>6944.4444444444443</v>
      </c>
      <c r="AB16" s="41">
        <f t="shared" si="10"/>
        <v>6944.4444444444443</v>
      </c>
      <c r="AC16" s="41">
        <f t="shared" si="10"/>
        <v>6944.4444444444443</v>
      </c>
      <c r="AD16" s="41">
        <f t="shared" si="10"/>
        <v>6944.4444444444443</v>
      </c>
      <c r="AE16" s="41">
        <f t="shared" si="10"/>
        <v>6944.4444444444443</v>
      </c>
      <c r="AF16" s="41">
        <f t="shared" si="10"/>
        <v>6944.4444444444443</v>
      </c>
      <c r="AG16" s="41">
        <f t="shared" ref="AG16" si="13">SUM(U16:AF16)</f>
        <v>48611.111111111109</v>
      </c>
    </row>
    <row r="17" spans="1:33" outlineLevel="1">
      <c r="A17" s="314" t="str">
        <f t="shared" si="8"/>
        <v>2018 3q</v>
      </c>
      <c r="B17" s="315" t="str">
        <f t="shared" si="8"/>
        <v>Technologie dělení potrubí (voda) - II (2 mio)</v>
      </c>
      <c r="C17" s="314">
        <f t="shared" si="8"/>
        <v>6100</v>
      </c>
      <c r="D17" s="315" t="str">
        <f t="shared" si="8"/>
        <v>Výroba</v>
      </c>
      <c r="E17" s="355">
        <f t="shared" si="8"/>
        <v>200000</v>
      </c>
      <c r="F17" s="287">
        <f t="shared" si="8"/>
        <v>5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f t="shared" si="9"/>
        <v>0</v>
      </c>
      <c r="T17" s="96"/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41">
        <f t="shared" ref="W17:AF18" si="14">IF($F17=0,0,$E17/$F17/12)</f>
        <v>3333.3333333333335</v>
      </c>
      <c r="AD17" s="41">
        <f t="shared" si="14"/>
        <v>3333.3333333333335</v>
      </c>
      <c r="AE17" s="41">
        <f t="shared" si="14"/>
        <v>3333.3333333333335</v>
      </c>
      <c r="AF17" s="41">
        <f t="shared" si="14"/>
        <v>3333.3333333333335</v>
      </c>
      <c r="AG17" s="41">
        <f t="shared" si="11"/>
        <v>13333.333333333334</v>
      </c>
    </row>
    <row r="18" spans="1:33" outlineLevel="1">
      <c r="A18" s="314" t="str">
        <f t="shared" si="8"/>
        <v>2018 1q</v>
      </c>
      <c r="B18" s="315" t="str">
        <f t="shared" si="8"/>
        <v>ERP</v>
      </c>
      <c r="C18" s="314">
        <f t="shared" si="8"/>
        <v>3100</v>
      </c>
      <c r="D18" s="315" t="str">
        <f t="shared" si="8"/>
        <v>Administrativa</v>
      </c>
      <c r="E18" s="355">
        <f t="shared" si="8"/>
        <v>1200000</v>
      </c>
      <c r="F18" s="287">
        <f t="shared" si="8"/>
        <v>5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f t="shared" si="9"/>
        <v>0</v>
      </c>
      <c r="T18" s="96"/>
      <c r="U18" s="318">
        <v>0</v>
      </c>
      <c r="V18" s="318">
        <v>0</v>
      </c>
      <c r="W18" s="41">
        <f t="shared" si="14"/>
        <v>20000</v>
      </c>
      <c r="X18" s="41">
        <f t="shared" si="14"/>
        <v>20000</v>
      </c>
      <c r="Y18" s="41">
        <f t="shared" si="14"/>
        <v>20000</v>
      </c>
      <c r="Z18" s="41">
        <f t="shared" si="14"/>
        <v>20000</v>
      </c>
      <c r="AA18" s="41">
        <f t="shared" si="14"/>
        <v>20000</v>
      </c>
      <c r="AB18" s="41">
        <f t="shared" si="14"/>
        <v>20000</v>
      </c>
      <c r="AC18" s="41">
        <f t="shared" si="14"/>
        <v>20000</v>
      </c>
      <c r="AD18" s="41">
        <f t="shared" si="14"/>
        <v>20000</v>
      </c>
      <c r="AE18" s="41">
        <f t="shared" si="14"/>
        <v>20000</v>
      </c>
      <c r="AF18" s="41">
        <f t="shared" si="14"/>
        <v>20000</v>
      </c>
      <c r="AG18" s="41">
        <f t="shared" si="11"/>
        <v>200000</v>
      </c>
    </row>
    <row r="19" spans="1:33" outlineLevel="1">
      <c r="B19" s="242" t="s">
        <v>402</v>
      </c>
      <c r="C19" s="242"/>
      <c r="D19" s="250"/>
      <c r="E19" s="255"/>
      <c r="F19" s="88"/>
      <c r="G19" s="128">
        <f t="shared" ref="G19:S19" si="15">SUM(G15:G18)</f>
        <v>0</v>
      </c>
      <c r="H19" s="128">
        <f t="shared" si="15"/>
        <v>0</v>
      </c>
      <c r="I19" s="128">
        <f t="shared" si="15"/>
        <v>0</v>
      </c>
      <c r="J19" s="128">
        <f t="shared" si="15"/>
        <v>0</v>
      </c>
      <c r="K19" s="128">
        <f t="shared" si="15"/>
        <v>0</v>
      </c>
      <c r="L19" s="128">
        <f t="shared" si="15"/>
        <v>0</v>
      </c>
      <c r="M19" s="128">
        <f t="shared" si="15"/>
        <v>0</v>
      </c>
      <c r="N19" s="128">
        <f t="shared" si="15"/>
        <v>0</v>
      </c>
      <c r="O19" s="128">
        <f t="shared" si="15"/>
        <v>0</v>
      </c>
      <c r="P19" s="128">
        <f t="shared" si="15"/>
        <v>0</v>
      </c>
      <c r="Q19" s="128">
        <f t="shared" si="15"/>
        <v>0</v>
      </c>
      <c r="R19" s="128">
        <f t="shared" si="15"/>
        <v>0</v>
      </c>
      <c r="S19" s="128">
        <f t="shared" si="15"/>
        <v>0</v>
      </c>
      <c r="T19" s="128"/>
      <c r="U19" s="128">
        <f t="shared" ref="U19:AG19" si="16">SUM(U15:U18)</f>
        <v>0</v>
      </c>
      <c r="V19" s="128">
        <f t="shared" si="16"/>
        <v>0</v>
      </c>
      <c r="W19" s="128">
        <f t="shared" si="16"/>
        <v>20000</v>
      </c>
      <c r="X19" s="128">
        <f t="shared" si="16"/>
        <v>20000</v>
      </c>
      <c r="Y19" s="128">
        <f t="shared" si="16"/>
        <v>20000</v>
      </c>
      <c r="Z19" s="128">
        <f t="shared" si="16"/>
        <v>29722.222222222223</v>
      </c>
      <c r="AA19" s="128">
        <f t="shared" si="16"/>
        <v>29722.222222222223</v>
      </c>
      <c r="AB19" s="128">
        <f t="shared" si="16"/>
        <v>29722.222222222223</v>
      </c>
      <c r="AC19" s="128">
        <f t="shared" si="16"/>
        <v>33055.555555555555</v>
      </c>
      <c r="AD19" s="128">
        <f t="shared" si="16"/>
        <v>33055.555555555555</v>
      </c>
      <c r="AE19" s="128">
        <f t="shared" si="16"/>
        <v>33055.555555555555</v>
      </c>
      <c r="AF19" s="128">
        <f t="shared" si="16"/>
        <v>33055.555555555555</v>
      </c>
      <c r="AG19" s="128">
        <f t="shared" si="16"/>
        <v>281388.88888888888</v>
      </c>
    </row>
    <row r="20" spans="1:33" outlineLevel="1">
      <c r="D20" s="250"/>
      <c r="E20" s="255"/>
      <c r="F20" s="88"/>
    </row>
    <row r="21" spans="1:33">
      <c r="D21" s="250"/>
      <c r="E21" s="255"/>
      <c r="F21" s="88"/>
    </row>
    <row r="22" spans="1:33" outlineLevel="1">
      <c r="D22" s="250"/>
      <c r="E22" s="255"/>
      <c r="F22" s="88"/>
      <c r="G22" s="114">
        <v>42736</v>
      </c>
      <c r="H22" s="114">
        <v>42767</v>
      </c>
      <c r="I22" s="114">
        <v>42795</v>
      </c>
      <c r="J22" s="114">
        <v>42826</v>
      </c>
      <c r="K22" s="114">
        <v>42856</v>
      </c>
      <c r="L22" s="114">
        <v>42887</v>
      </c>
      <c r="M22" s="114">
        <v>42917</v>
      </c>
      <c r="N22" s="114">
        <v>42948</v>
      </c>
      <c r="O22" s="114">
        <v>42979</v>
      </c>
      <c r="P22" s="114">
        <v>43009</v>
      </c>
      <c r="Q22" s="114">
        <v>43040</v>
      </c>
      <c r="R22" s="114">
        <v>43070</v>
      </c>
      <c r="S22" s="112">
        <v>2017</v>
      </c>
      <c r="T22" s="87"/>
      <c r="U22" s="89">
        <v>43101</v>
      </c>
      <c r="V22" s="89">
        <v>43132</v>
      </c>
      <c r="W22" s="89">
        <v>43160</v>
      </c>
      <c r="X22" s="89">
        <v>43191</v>
      </c>
      <c r="Y22" s="89">
        <v>43221</v>
      </c>
      <c r="Z22" s="89">
        <v>43252</v>
      </c>
      <c r="AA22" s="89">
        <v>43282</v>
      </c>
      <c r="AB22" s="89">
        <v>43313</v>
      </c>
      <c r="AC22" s="89">
        <v>43344</v>
      </c>
      <c r="AD22" s="89">
        <v>43374</v>
      </c>
      <c r="AE22" s="89">
        <v>43405</v>
      </c>
      <c r="AF22" s="89">
        <v>43435</v>
      </c>
      <c r="AG22" s="113">
        <v>2018</v>
      </c>
    </row>
    <row r="23" spans="1:33" outlineLevel="1">
      <c r="A23" s="242" t="s">
        <v>401</v>
      </c>
      <c r="C23" s="241" t="s">
        <v>162</v>
      </c>
      <c r="D23" s="250"/>
      <c r="E23" s="255"/>
      <c r="F23" s="88"/>
      <c r="G23" s="115" t="s">
        <v>130</v>
      </c>
      <c r="H23" s="115" t="s">
        <v>130</v>
      </c>
      <c r="I23" s="115" t="s">
        <v>130</v>
      </c>
      <c r="J23" s="115" t="s">
        <v>130</v>
      </c>
      <c r="K23" s="115" t="s">
        <v>130</v>
      </c>
      <c r="L23" s="115" t="s">
        <v>130</v>
      </c>
      <c r="M23" s="115" t="s">
        <v>130</v>
      </c>
      <c r="N23" s="115" t="s">
        <v>130</v>
      </c>
      <c r="O23" s="115" t="s">
        <v>130</v>
      </c>
      <c r="P23" s="115" t="s">
        <v>130</v>
      </c>
      <c r="Q23" s="115" t="s">
        <v>130</v>
      </c>
      <c r="R23" s="115" t="s">
        <v>130</v>
      </c>
      <c r="S23" s="94" t="s">
        <v>0</v>
      </c>
      <c r="T23" s="87"/>
      <c r="U23" s="93" t="s">
        <v>130</v>
      </c>
      <c r="V23" s="93" t="s">
        <v>130</v>
      </c>
      <c r="W23" s="93" t="s">
        <v>130</v>
      </c>
      <c r="X23" s="93" t="s">
        <v>130</v>
      </c>
      <c r="Y23" s="93" t="s">
        <v>130</v>
      </c>
      <c r="Z23" s="93" t="s">
        <v>130</v>
      </c>
      <c r="AA23" s="93" t="s">
        <v>130</v>
      </c>
      <c r="AB23" s="93" t="s">
        <v>130</v>
      </c>
      <c r="AC23" s="93" t="s">
        <v>130</v>
      </c>
      <c r="AD23" s="93" t="s">
        <v>130</v>
      </c>
      <c r="AE23" s="93" t="s">
        <v>130</v>
      </c>
      <c r="AF23" s="93" t="s">
        <v>130</v>
      </c>
      <c r="AG23" s="93" t="s">
        <v>0</v>
      </c>
    </row>
    <row r="24" spans="1:33" ht="45.75" outlineLevel="1">
      <c r="A24" s="243" t="s">
        <v>217</v>
      </c>
      <c r="B24" s="243" t="s">
        <v>161</v>
      </c>
      <c r="C24" s="243" t="s">
        <v>218</v>
      </c>
      <c r="D24" s="251" t="s">
        <v>220</v>
      </c>
      <c r="E24" s="256" t="s">
        <v>219</v>
      </c>
      <c r="F24" s="243" t="s">
        <v>228</v>
      </c>
      <c r="G24" s="116" t="s">
        <v>79</v>
      </c>
      <c r="H24" s="116" t="s">
        <v>79</v>
      </c>
      <c r="I24" s="116" t="s">
        <v>79</v>
      </c>
      <c r="J24" s="116" t="s">
        <v>79</v>
      </c>
      <c r="K24" s="116" t="s">
        <v>79</v>
      </c>
      <c r="L24" s="116" t="s">
        <v>79</v>
      </c>
      <c r="M24" s="116" t="s">
        <v>79</v>
      </c>
      <c r="N24" s="116" t="s">
        <v>79</v>
      </c>
      <c r="O24" s="116" t="s">
        <v>79</v>
      </c>
      <c r="P24" s="116" t="s">
        <v>79</v>
      </c>
      <c r="Q24" s="116" t="s">
        <v>79</v>
      </c>
      <c r="R24" s="116" t="s">
        <v>79</v>
      </c>
      <c r="S24" s="95" t="s">
        <v>131</v>
      </c>
      <c r="T24" s="87"/>
      <c r="U24" s="38" t="s">
        <v>132</v>
      </c>
      <c r="V24" s="38" t="s">
        <v>132</v>
      </c>
      <c r="W24" s="38" t="s">
        <v>132</v>
      </c>
      <c r="X24" s="38" t="s">
        <v>132</v>
      </c>
      <c r="Y24" s="38" t="s">
        <v>132</v>
      </c>
      <c r="Z24" s="38" t="s">
        <v>132</v>
      </c>
      <c r="AA24" s="38" t="s">
        <v>132</v>
      </c>
      <c r="AB24" s="38" t="s">
        <v>132</v>
      </c>
      <c r="AC24" s="38" t="s">
        <v>132</v>
      </c>
      <c r="AD24" s="38" t="s">
        <v>132</v>
      </c>
      <c r="AE24" s="38" t="s">
        <v>132</v>
      </c>
      <c r="AF24" s="38" t="s">
        <v>132</v>
      </c>
      <c r="AG24" s="38" t="s">
        <v>133</v>
      </c>
    </row>
    <row r="25" spans="1:33" outlineLevel="1">
      <c r="A25" s="245" t="s">
        <v>539</v>
      </c>
      <c r="B25" s="245" t="s">
        <v>539</v>
      </c>
      <c r="C25" s="248">
        <v>2200</v>
      </c>
      <c r="D25" s="246" t="s">
        <v>456</v>
      </c>
      <c r="E25" s="247">
        <v>9035104.5500000007</v>
      </c>
      <c r="F25" s="249" t="s">
        <v>221</v>
      </c>
      <c r="G25" s="41">
        <v>5147.833333333333</v>
      </c>
      <c r="H25" s="41">
        <v>5147.833333333333</v>
      </c>
      <c r="I25" s="41">
        <v>5147.833333333333</v>
      </c>
      <c r="J25" s="41">
        <v>5147.833333333333</v>
      </c>
      <c r="K25" s="41">
        <v>5147.833333333333</v>
      </c>
      <c r="L25" s="41">
        <v>5147.833333333333</v>
      </c>
      <c r="M25" s="41">
        <v>5147.833333333333</v>
      </c>
      <c r="N25" s="41">
        <v>5147.833333333333</v>
      </c>
      <c r="O25" s="41">
        <v>5147.833333333333</v>
      </c>
      <c r="P25" s="41">
        <v>5147.833333333333</v>
      </c>
      <c r="Q25" s="41">
        <v>5147.833333333333</v>
      </c>
      <c r="R25" s="41">
        <v>5147.833333333333</v>
      </c>
      <c r="S25" s="41">
        <f t="shared" ref="S25:S48" si="17">SUM(G25:R25)</f>
        <v>61774.000000000007</v>
      </c>
      <c r="T25" s="96"/>
      <c r="U25" s="41">
        <f t="shared" ref="U25" si="18">R25</f>
        <v>5147.833333333333</v>
      </c>
      <c r="V25" s="41">
        <f t="shared" ref="V25" si="19">U25</f>
        <v>5147.833333333333</v>
      </c>
      <c r="W25" s="41">
        <f t="shared" ref="W25" si="20">V25</f>
        <v>5147.833333333333</v>
      </c>
      <c r="X25" s="41">
        <f t="shared" ref="X25" si="21">W25</f>
        <v>5147.833333333333</v>
      </c>
      <c r="Y25" s="41">
        <f t="shared" ref="Y25" si="22">X25</f>
        <v>5147.833333333333</v>
      </c>
      <c r="Z25" s="41">
        <f t="shared" ref="Z25" si="23">Y25</f>
        <v>5147.833333333333</v>
      </c>
      <c r="AA25" s="41">
        <f t="shared" ref="AA25" si="24">Z25</f>
        <v>5147.833333333333</v>
      </c>
      <c r="AB25" s="41">
        <f t="shared" ref="AB25" si="25">AA25</f>
        <v>5147.833333333333</v>
      </c>
      <c r="AC25" s="41">
        <f t="shared" ref="AC25" si="26">AB25</f>
        <v>5147.833333333333</v>
      </c>
      <c r="AD25" s="41">
        <f t="shared" ref="AD25" si="27">AC25</f>
        <v>5147.833333333333</v>
      </c>
      <c r="AE25" s="41">
        <f t="shared" ref="AE25" si="28">AD25</f>
        <v>5147.833333333333</v>
      </c>
      <c r="AF25" s="41">
        <f t="shared" ref="AF25" si="29">AE25</f>
        <v>5147.833333333333</v>
      </c>
      <c r="AG25" s="41">
        <f t="shared" ref="AG25" si="30">SUM(U25:AF25)</f>
        <v>61774.000000000007</v>
      </c>
    </row>
    <row r="26" spans="1:33" outlineLevel="1">
      <c r="A26" s="245" t="s">
        <v>540</v>
      </c>
      <c r="B26" s="245" t="s">
        <v>540</v>
      </c>
      <c r="C26" s="248">
        <v>2200</v>
      </c>
      <c r="D26" s="246" t="s">
        <v>456</v>
      </c>
      <c r="E26" s="247">
        <v>2685706.28</v>
      </c>
      <c r="F26" s="249" t="s">
        <v>222</v>
      </c>
      <c r="G26" s="41">
        <f t="shared" ref="G26:R26" si="31">(89524/12)/6</f>
        <v>1243.3888888888889</v>
      </c>
      <c r="H26" s="41">
        <f t="shared" si="31"/>
        <v>1243.3888888888889</v>
      </c>
      <c r="I26" s="41">
        <f t="shared" si="31"/>
        <v>1243.3888888888889</v>
      </c>
      <c r="J26" s="41">
        <f t="shared" si="31"/>
        <v>1243.3888888888889</v>
      </c>
      <c r="K26" s="41">
        <f t="shared" si="31"/>
        <v>1243.3888888888889</v>
      </c>
      <c r="L26" s="41">
        <f t="shared" si="31"/>
        <v>1243.3888888888889</v>
      </c>
      <c r="M26" s="41">
        <f t="shared" si="31"/>
        <v>1243.3888888888889</v>
      </c>
      <c r="N26" s="41">
        <f t="shared" si="31"/>
        <v>1243.3888888888889</v>
      </c>
      <c r="O26" s="41">
        <f t="shared" si="31"/>
        <v>1243.3888888888889</v>
      </c>
      <c r="P26" s="41">
        <f t="shared" si="31"/>
        <v>1243.3888888888889</v>
      </c>
      <c r="Q26" s="41">
        <f t="shared" si="31"/>
        <v>1243.3888888888889</v>
      </c>
      <c r="R26" s="41">
        <f t="shared" si="31"/>
        <v>1243.3888888888889</v>
      </c>
      <c r="S26" s="41">
        <f t="shared" si="17"/>
        <v>14920.666666666666</v>
      </c>
      <c r="T26" s="96"/>
      <c r="U26" s="41">
        <f t="shared" ref="U26" si="32">R26</f>
        <v>1243.3888888888889</v>
      </c>
      <c r="V26" s="41">
        <f t="shared" ref="V26" si="33">U26</f>
        <v>1243.3888888888889</v>
      </c>
      <c r="W26" s="41">
        <f t="shared" ref="W26:AF26" si="34">V26</f>
        <v>1243.3888888888889</v>
      </c>
      <c r="X26" s="41">
        <f t="shared" si="34"/>
        <v>1243.3888888888889</v>
      </c>
      <c r="Y26" s="41">
        <f t="shared" si="34"/>
        <v>1243.3888888888889</v>
      </c>
      <c r="Z26" s="41">
        <f t="shared" si="34"/>
        <v>1243.3888888888889</v>
      </c>
      <c r="AA26" s="41">
        <f t="shared" si="34"/>
        <v>1243.3888888888889</v>
      </c>
      <c r="AB26" s="41">
        <f t="shared" si="34"/>
        <v>1243.3888888888889</v>
      </c>
      <c r="AC26" s="41">
        <f t="shared" si="34"/>
        <v>1243.3888888888889</v>
      </c>
      <c r="AD26" s="41">
        <f t="shared" si="34"/>
        <v>1243.3888888888889</v>
      </c>
      <c r="AE26" s="41">
        <f t="shared" si="34"/>
        <v>1243.3888888888889</v>
      </c>
      <c r="AF26" s="41">
        <f t="shared" si="34"/>
        <v>1243.3888888888889</v>
      </c>
      <c r="AG26" s="41">
        <f t="shared" ref="AG26" si="35">SUM(U26:AF26)</f>
        <v>14920.666666666666</v>
      </c>
    </row>
    <row r="27" spans="1:33" outlineLevel="1">
      <c r="A27" s="245" t="s">
        <v>541</v>
      </c>
      <c r="B27" s="245" t="s">
        <v>541</v>
      </c>
      <c r="C27" s="248">
        <v>8200</v>
      </c>
      <c r="D27" s="246" t="s">
        <v>65</v>
      </c>
      <c r="E27" s="247">
        <v>120813</v>
      </c>
      <c r="F27" s="249" t="s">
        <v>223</v>
      </c>
      <c r="G27" s="41">
        <v>33.666666666666664</v>
      </c>
      <c r="H27" s="41">
        <v>33.666666666666664</v>
      </c>
      <c r="I27" s="41">
        <v>33.666666666666664</v>
      </c>
      <c r="J27" s="41">
        <v>33.666666666666664</v>
      </c>
      <c r="K27" s="41">
        <v>33.666666666666664</v>
      </c>
      <c r="L27" s="41">
        <v>33.666666666666664</v>
      </c>
      <c r="M27" s="41">
        <v>33.666666666666664</v>
      </c>
      <c r="N27" s="41">
        <v>33.666666666666664</v>
      </c>
      <c r="O27" s="41">
        <v>33.666666666666664</v>
      </c>
      <c r="P27" s="41">
        <v>33.666666666666664</v>
      </c>
      <c r="Q27" s="41">
        <v>33.666666666666664</v>
      </c>
      <c r="R27" s="41">
        <v>33.666666666666664</v>
      </c>
      <c r="S27" s="41">
        <f t="shared" si="17"/>
        <v>404.00000000000006</v>
      </c>
      <c r="T27" s="96"/>
      <c r="U27" s="41">
        <f t="shared" ref="U27:U48" si="36">R27</f>
        <v>33.666666666666664</v>
      </c>
      <c r="V27" s="41">
        <f t="shared" ref="V27:V48" si="37">U27</f>
        <v>33.666666666666664</v>
      </c>
      <c r="W27" s="41">
        <f t="shared" ref="W27:W48" si="38">V27</f>
        <v>33.666666666666664</v>
      </c>
      <c r="X27" s="41">
        <f t="shared" ref="X27:X48" si="39">W27</f>
        <v>33.666666666666664</v>
      </c>
      <c r="Y27" s="41">
        <f t="shared" ref="Y27:Y48" si="40">X27</f>
        <v>33.666666666666664</v>
      </c>
      <c r="Z27" s="41">
        <f t="shared" ref="Z27:Z48" si="41">Y27</f>
        <v>33.666666666666664</v>
      </c>
      <c r="AA27" s="41">
        <f t="shared" ref="AA27:AA48" si="42">Z27</f>
        <v>33.666666666666664</v>
      </c>
      <c r="AB27" s="41">
        <f t="shared" ref="AB27:AB48" si="43">AA27</f>
        <v>33.666666666666664</v>
      </c>
      <c r="AC27" s="41">
        <f t="shared" ref="AC27:AC48" si="44">AB27</f>
        <v>33.666666666666664</v>
      </c>
      <c r="AD27" s="41">
        <f t="shared" ref="AD27:AD48" si="45">AC27</f>
        <v>33.666666666666664</v>
      </c>
      <c r="AE27" s="41">
        <f t="shared" ref="AE27:AE48" si="46">AD27</f>
        <v>33.666666666666664</v>
      </c>
      <c r="AF27" s="41">
        <f t="shared" ref="AF27:AF48" si="47">AE27</f>
        <v>33.666666666666664</v>
      </c>
      <c r="AG27" s="41">
        <f t="shared" ref="AG27:AG48" si="48">SUM(U27:AF27)</f>
        <v>404.00000000000006</v>
      </c>
    </row>
    <row r="28" spans="1:33" outlineLevel="1">
      <c r="A28" s="245" t="s">
        <v>542</v>
      </c>
      <c r="B28" s="245" t="s">
        <v>542</v>
      </c>
      <c r="C28" s="248">
        <v>6100</v>
      </c>
      <c r="D28" s="246" t="s">
        <v>65</v>
      </c>
      <c r="E28" s="247">
        <v>65569.740000000005</v>
      </c>
      <c r="F28" s="249" t="s">
        <v>223</v>
      </c>
      <c r="G28" s="41">
        <v>36.5</v>
      </c>
      <c r="H28" s="41">
        <v>36.5</v>
      </c>
      <c r="I28" s="41">
        <v>36.5</v>
      </c>
      <c r="J28" s="41">
        <v>36.5</v>
      </c>
      <c r="K28" s="41">
        <v>36.5</v>
      </c>
      <c r="L28" s="41">
        <v>36.5</v>
      </c>
      <c r="M28" s="41">
        <v>36.5</v>
      </c>
      <c r="N28" s="41">
        <v>36.5</v>
      </c>
      <c r="O28" s="41">
        <v>36.5</v>
      </c>
      <c r="P28" s="41">
        <v>36.5</v>
      </c>
      <c r="Q28" s="41">
        <v>36.5</v>
      </c>
      <c r="R28" s="41">
        <v>36.5</v>
      </c>
      <c r="S28" s="41">
        <f t="shared" si="17"/>
        <v>438</v>
      </c>
      <c r="T28" s="96"/>
      <c r="U28" s="41">
        <f t="shared" si="36"/>
        <v>36.5</v>
      </c>
      <c r="V28" s="41">
        <f t="shared" si="37"/>
        <v>36.5</v>
      </c>
      <c r="W28" s="41">
        <f t="shared" si="38"/>
        <v>36.5</v>
      </c>
      <c r="X28" s="41">
        <f t="shared" si="39"/>
        <v>36.5</v>
      </c>
      <c r="Y28" s="41">
        <f t="shared" si="40"/>
        <v>36.5</v>
      </c>
      <c r="Z28" s="41">
        <f t="shared" si="41"/>
        <v>36.5</v>
      </c>
      <c r="AA28" s="41">
        <f t="shared" si="42"/>
        <v>36.5</v>
      </c>
      <c r="AB28" s="41">
        <f t="shared" si="43"/>
        <v>36.5</v>
      </c>
      <c r="AC28" s="41">
        <f t="shared" si="44"/>
        <v>36.5</v>
      </c>
      <c r="AD28" s="41">
        <f t="shared" si="45"/>
        <v>36.5</v>
      </c>
      <c r="AE28" s="41">
        <f t="shared" si="46"/>
        <v>36.5</v>
      </c>
      <c r="AF28" s="41">
        <f t="shared" si="47"/>
        <v>36.5</v>
      </c>
      <c r="AG28" s="41">
        <f t="shared" si="48"/>
        <v>438</v>
      </c>
    </row>
    <row r="29" spans="1:33" outlineLevel="1">
      <c r="A29" s="245" t="s">
        <v>543</v>
      </c>
      <c r="B29" s="245" t="s">
        <v>543</v>
      </c>
      <c r="C29" s="248">
        <v>2200</v>
      </c>
      <c r="D29" s="246" t="s">
        <v>456</v>
      </c>
      <c r="E29" s="247">
        <v>241661</v>
      </c>
      <c r="F29" s="249" t="s">
        <v>224</v>
      </c>
      <c r="G29" s="41">
        <v>0</v>
      </c>
      <c r="H29" s="41">
        <v>0</v>
      </c>
      <c r="I29" s="41">
        <v>0</v>
      </c>
      <c r="J29" s="41">
        <v>0</v>
      </c>
      <c r="K29" s="41">
        <v>376.66666666666669</v>
      </c>
      <c r="L29" s="41">
        <v>376.66666666666669</v>
      </c>
      <c r="M29" s="41">
        <v>376.66666666666669</v>
      </c>
      <c r="N29" s="41">
        <v>376.66666666666669</v>
      </c>
      <c r="O29" s="41">
        <v>376.66666666666669</v>
      </c>
      <c r="P29" s="41">
        <v>376.66666666666669</v>
      </c>
      <c r="Q29" s="41">
        <v>376.66666666666669</v>
      </c>
      <c r="R29" s="41">
        <v>376</v>
      </c>
      <c r="S29" s="41">
        <f t="shared" si="17"/>
        <v>3012.6666666666665</v>
      </c>
      <c r="T29" s="96"/>
      <c r="U29" s="41">
        <f t="shared" si="36"/>
        <v>376</v>
      </c>
      <c r="V29" s="41">
        <f t="shared" si="37"/>
        <v>376</v>
      </c>
      <c r="W29" s="41">
        <f t="shared" si="38"/>
        <v>376</v>
      </c>
      <c r="X29" s="41">
        <f t="shared" si="39"/>
        <v>376</v>
      </c>
      <c r="Y29" s="41">
        <f t="shared" si="40"/>
        <v>376</v>
      </c>
      <c r="Z29" s="41">
        <f t="shared" si="41"/>
        <v>376</v>
      </c>
      <c r="AA29" s="41">
        <f t="shared" si="42"/>
        <v>376</v>
      </c>
      <c r="AB29" s="41">
        <f t="shared" si="43"/>
        <v>376</v>
      </c>
      <c r="AC29" s="41">
        <f t="shared" si="44"/>
        <v>376</v>
      </c>
      <c r="AD29" s="41">
        <f t="shared" si="45"/>
        <v>376</v>
      </c>
      <c r="AE29" s="41">
        <f t="shared" si="46"/>
        <v>376</v>
      </c>
      <c r="AF29" s="41">
        <f t="shared" si="47"/>
        <v>376</v>
      </c>
      <c r="AG29" s="41">
        <f t="shared" si="48"/>
        <v>4512</v>
      </c>
    </row>
    <row r="30" spans="1:33" outlineLevel="1">
      <c r="A30" s="245" t="s">
        <v>544</v>
      </c>
      <c r="B30" s="245" t="s">
        <v>544</v>
      </c>
      <c r="C30" s="248">
        <v>2200</v>
      </c>
      <c r="D30" s="246" t="s">
        <v>456</v>
      </c>
      <c r="E30" s="247">
        <v>62678.33</v>
      </c>
      <c r="F30" s="249" t="s">
        <v>221</v>
      </c>
      <c r="G30" s="41">
        <v>48.5</v>
      </c>
      <c r="H30" s="41">
        <v>48.5</v>
      </c>
      <c r="I30" s="41">
        <v>48.5</v>
      </c>
      <c r="J30" s="41">
        <v>48.5</v>
      </c>
      <c r="K30" s="41">
        <v>48.5</v>
      </c>
      <c r="L30" s="41">
        <v>48.5</v>
      </c>
      <c r="M30" s="41">
        <v>48.5</v>
      </c>
      <c r="N30" s="41">
        <v>48.5</v>
      </c>
      <c r="O30" s="41">
        <v>48.5</v>
      </c>
      <c r="P30" s="41">
        <v>48.5</v>
      </c>
      <c r="Q30" s="41">
        <v>48.5</v>
      </c>
      <c r="R30" s="41">
        <v>46.833333333333336</v>
      </c>
      <c r="S30" s="41">
        <f t="shared" si="17"/>
        <v>580.33333333333337</v>
      </c>
      <c r="T30" s="96"/>
      <c r="U30" s="41">
        <f t="shared" si="36"/>
        <v>46.833333333333336</v>
      </c>
      <c r="V30" s="41">
        <f t="shared" si="37"/>
        <v>46.833333333333336</v>
      </c>
      <c r="W30" s="41">
        <f t="shared" si="38"/>
        <v>46.833333333333336</v>
      </c>
      <c r="X30" s="41">
        <f t="shared" si="39"/>
        <v>46.833333333333336</v>
      </c>
      <c r="Y30" s="41">
        <f t="shared" si="40"/>
        <v>46.833333333333336</v>
      </c>
      <c r="Z30" s="41">
        <f t="shared" si="41"/>
        <v>46.833333333333336</v>
      </c>
      <c r="AA30" s="41">
        <f t="shared" si="42"/>
        <v>46.833333333333336</v>
      </c>
      <c r="AB30" s="41">
        <f t="shared" si="43"/>
        <v>46.833333333333336</v>
      </c>
      <c r="AC30" s="41">
        <f t="shared" si="44"/>
        <v>46.833333333333336</v>
      </c>
      <c r="AD30" s="41">
        <f t="shared" si="45"/>
        <v>46.833333333333336</v>
      </c>
      <c r="AE30" s="41">
        <f t="shared" si="46"/>
        <v>46.833333333333336</v>
      </c>
      <c r="AF30" s="41">
        <f t="shared" si="47"/>
        <v>46.833333333333336</v>
      </c>
      <c r="AG30" s="41">
        <f t="shared" si="48"/>
        <v>562</v>
      </c>
    </row>
    <row r="31" spans="1:33" outlineLevel="1">
      <c r="A31" s="245" t="s">
        <v>545</v>
      </c>
      <c r="B31" s="245" t="s">
        <v>545</v>
      </c>
      <c r="C31" s="248">
        <v>2200</v>
      </c>
      <c r="D31" s="246" t="s">
        <v>456</v>
      </c>
      <c r="E31" s="247">
        <v>73593</v>
      </c>
      <c r="F31" s="249" t="s">
        <v>221</v>
      </c>
      <c r="G31" s="41">
        <v>56.833333333333336</v>
      </c>
      <c r="H31" s="41">
        <v>56.833333333333336</v>
      </c>
      <c r="I31" s="41">
        <v>56.833333333333336</v>
      </c>
      <c r="J31" s="41">
        <v>56.833333333333336</v>
      </c>
      <c r="K31" s="41">
        <v>56.833333333333336</v>
      </c>
      <c r="L31" s="41">
        <v>56.833333333333336</v>
      </c>
      <c r="M31" s="41">
        <v>56.833333333333336</v>
      </c>
      <c r="N31" s="41">
        <v>56.833333333333336</v>
      </c>
      <c r="O31" s="41">
        <v>56.833333333333336</v>
      </c>
      <c r="P31" s="41">
        <v>56.833333333333336</v>
      </c>
      <c r="Q31" s="41">
        <v>56.833333333333336</v>
      </c>
      <c r="R31" s="41">
        <v>56.333333333333336</v>
      </c>
      <c r="S31" s="41">
        <f t="shared" si="17"/>
        <v>681.5</v>
      </c>
      <c r="T31" s="96"/>
      <c r="U31" s="41">
        <f t="shared" si="36"/>
        <v>56.333333333333336</v>
      </c>
      <c r="V31" s="41">
        <f t="shared" si="37"/>
        <v>56.333333333333336</v>
      </c>
      <c r="W31" s="41">
        <f t="shared" si="38"/>
        <v>56.333333333333336</v>
      </c>
      <c r="X31" s="41">
        <f t="shared" si="39"/>
        <v>56.333333333333336</v>
      </c>
      <c r="Y31" s="41">
        <f t="shared" si="40"/>
        <v>56.333333333333336</v>
      </c>
      <c r="Z31" s="41">
        <f t="shared" si="41"/>
        <v>56.333333333333336</v>
      </c>
      <c r="AA31" s="41">
        <f t="shared" si="42"/>
        <v>56.333333333333336</v>
      </c>
      <c r="AB31" s="41">
        <f t="shared" si="43"/>
        <v>56.333333333333336</v>
      </c>
      <c r="AC31" s="41">
        <f t="shared" si="44"/>
        <v>56.333333333333336</v>
      </c>
      <c r="AD31" s="41">
        <f t="shared" si="45"/>
        <v>56.333333333333336</v>
      </c>
      <c r="AE31" s="41">
        <f t="shared" si="46"/>
        <v>56.333333333333336</v>
      </c>
      <c r="AF31" s="41">
        <f t="shared" si="47"/>
        <v>56.333333333333336</v>
      </c>
      <c r="AG31" s="41">
        <f t="shared" si="48"/>
        <v>676</v>
      </c>
    </row>
    <row r="32" spans="1:33" outlineLevel="1">
      <c r="A32" s="245" t="s">
        <v>546</v>
      </c>
      <c r="B32" s="245" t="s">
        <v>546</v>
      </c>
      <c r="C32" s="248">
        <v>6100</v>
      </c>
      <c r="D32" s="246" t="s">
        <v>65</v>
      </c>
      <c r="E32" s="247">
        <v>65707</v>
      </c>
      <c r="F32" s="249" t="s">
        <v>224</v>
      </c>
      <c r="G32" s="41">
        <v>146.16666666666666</v>
      </c>
      <c r="H32" s="41">
        <v>146.16666666666666</v>
      </c>
      <c r="I32" s="41">
        <v>146.16666666666666</v>
      </c>
      <c r="J32" s="41">
        <v>146.16666666666666</v>
      </c>
      <c r="K32" s="41">
        <v>146.16666666666666</v>
      </c>
      <c r="L32" s="41">
        <v>146.16666666666666</v>
      </c>
      <c r="M32" s="41">
        <v>146.16666666666666</v>
      </c>
      <c r="N32" s="41">
        <v>146.16666666666666</v>
      </c>
      <c r="O32" s="41">
        <v>146.16666666666666</v>
      </c>
      <c r="P32" s="41">
        <v>146.16666666666666</v>
      </c>
      <c r="Q32" s="41">
        <v>146.16666666666666</v>
      </c>
      <c r="R32" s="41">
        <v>144.33333333333334</v>
      </c>
      <c r="S32" s="41">
        <f t="shared" si="17"/>
        <v>1752.1666666666667</v>
      </c>
      <c r="T32" s="96"/>
      <c r="U32" s="41">
        <f t="shared" si="36"/>
        <v>144.33333333333334</v>
      </c>
      <c r="V32" s="41">
        <f t="shared" si="37"/>
        <v>144.33333333333334</v>
      </c>
      <c r="W32" s="41">
        <f t="shared" si="38"/>
        <v>144.33333333333334</v>
      </c>
      <c r="X32" s="41">
        <f t="shared" si="39"/>
        <v>144.33333333333334</v>
      </c>
      <c r="Y32" s="41">
        <f t="shared" si="40"/>
        <v>144.33333333333334</v>
      </c>
      <c r="Z32" s="41">
        <f t="shared" si="41"/>
        <v>144.33333333333334</v>
      </c>
      <c r="AA32" s="41">
        <f t="shared" si="42"/>
        <v>144.33333333333334</v>
      </c>
      <c r="AB32" s="41">
        <f t="shared" si="43"/>
        <v>144.33333333333334</v>
      </c>
      <c r="AC32" s="41">
        <f t="shared" si="44"/>
        <v>144.33333333333334</v>
      </c>
      <c r="AD32" s="41">
        <f t="shared" si="45"/>
        <v>144.33333333333334</v>
      </c>
      <c r="AE32" s="41">
        <f t="shared" si="46"/>
        <v>144.33333333333334</v>
      </c>
      <c r="AF32" s="41">
        <f t="shared" si="47"/>
        <v>144.33333333333334</v>
      </c>
      <c r="AG32" s="41">
        <f t="shared" si="48"/>
        <v>1731.9999999999998</v>
      </c>
    </row>
    <row r="33" spans="1:33" outlineLevel="1">
      <c r="A33" s="245" t="s">
        <v>547</v>
      </c>
      <c r="B33" s="245" t="s">
        <v>547</v>
      </c>
      <c r="C33" s="248">
        <v>6100</v>
      </c>
      <c r="D33" s="246" t="s">
        <v>65</v>
      </c>
      <c r="E33" s="247">
        <v>302572.71999999997</v>
      </c>
      <c r="F33" s="249" t="s">
        <v>224</v>
      </c>
      <c r="G33" s="41">
        <v>672.5</v>
      </c>
      <c r="H33" s="41">
        <v>672.5</v>
      </c>
      <c r="I33" s="41">
        <v>672.5</v>
      </c>
      <c r="J33" s="41">
        <v>672.5</v>
      </c>
      <c r="K33" s="41">
        <v>672.5</v>
      </c>
      <c r="L33" s="41">
        <v>672.5</v>
      </c>
      <c r="M33" s="41">
        <v>672.5</v>
      </c>
      <c r="N33" s="41">
        <v>672.5</v>
      </c>
      <c r="O33" s="41">
        <v>672.5</v>
      </c>
      <c r="P33" s="41">
        <v>672.5</v>
      </c>
      <c r="Q33" s="41">
        <v>672.5</v>
      </c>
      <c r="R33" s="41">
        <v>671.16666666666663</v>
      </c>
      <c r="S33" s="41">
        <f t="shared" si="17"/>
        <v>8068.666666666667</v>
      </c>
      <c r="T33" s="96"/>
      <c r="U33" s="41">
        <f t="shared" si="36"/>
        <v>671.16666666666663</v>
      </c>
      <c r="V33" s="41">
        <f t="shared" si="37"/>
        <v>671.16666666666663</v>
      </c>
      <c r="W33" s="41">
        <f t="shared" si="38"/>
        <v>671.16666666666663</v>
      </c>
      <c r="X33" s="41">
        <f t="shared" si="39"/>
        <v>671.16666666666663</v>
      </c>
      <c r="Y33" s="41">
        <f t="shared" si="40"/>
        <v>671.16666666666663</v>
      </c>
      <c r="Z33" s="41">
        <f t="shared" si="41"/>
        <v>671.16666666666663</v>
      </c>
      <c r="AA33" s="41">
        <f t="shared" si="42"/>
        <v>671.16666666666663</v>
      </c>
      <c r="AB33" s="41">
        <f t="shared" si="43"/>
        <v>671.16666666666663</v>
      </c>
      <c r="AC33" s="41">
        <f t="shared" si="44"/>
        <v>671.16666666666663</v>
      </c>
      <c r="AD33" s="41">
        <f t="shared" si="45"/>
        <v>671.16666666666663</v>
      </c>
      <c r="AE33" s="41">
        <f t="shared" si="46"/>
        <v>671.16666666666663</v>
      </c>
      <c r="AF33" s="41">
        <f t="shared" si="47"/>
        <v>671.16666666666663</v>
      </c>
      <c r="AG33" s="41">
        <f t="shared" si="48"/>
        <v>8054.0000000000009</v>
      </c>
    </row>
    <row r="34" spans="1:33" outlineLevel="1">
      <c r="A34" s="245" t="s">
        <v>548</v>
      </c>
      <c r="B34" s="245" t="s">
        <v>548</v>
      </c>
      <c r="C34" s="248">
        <v>8200</v>
      </c>
      <c r="D34" s="246" t="s">
        <v>65</v>
      </c>
      <c r="E34" s="247">
        <v>58701</v>
      </c>
      <c r="F34" s="249" t="s">
        <v>223</v>
      </c>
      <c r="G34" s="41">
        <v>114.16666666666667</v>
      </c>
      <c r="H34" s="41">
        <v>114.16666666666667</v>
      </c>
      <c r="I34" s="41">
        <v>114.16666666666667</v>
      </c>
      <c r="J34" s="41">
        <v>114.16666666666667</v>
      </c>
      <c r="K34" s="41">
        <v>114.16666666666667</v>
      </c>
      <c r="L34" s="41">
        <v>114.16666666666667</v>
      </c>
      <c r="M34" s="41">
        <v>114.16666666666667</v>
      </c>
      <c r="N34" s="41">
        <v>114.16666666666667</v>
      </c>
      <c r="O34" s="41">
        <v>114.16666666666667</v>
      </c>
      <c r="P34" s="41">
        <v>114.16666666666667</v>
      </c>
      <c r="Q34" s="41">
        <v>114.16666666666667</v>
      </c>
      <c r="R34" s="41">
        <v>113.83333333333333</v>
      </c>
      <c r="S34" s="41">
        <f t="shared" si="17"/>
        <v>1369.6666666666667</v>
      </c>
      <c r="T34" s="96"/>
      <c r="U34" s="41">
        <f t="shared" si="36"/>
        <v>113.83333333333333</v>
      </c>
      <c r="V34" s="41">
        <f t="shared" si="37"/>
        <v>113.83333333333333</v>
      </c>
      <c r="W34" s="41">
        <f t="shared" si="38"/>
        <v>113.83333333333333</v>
      </c>
      <c r="X34" s="41">
        <f t="shared" si="39"/>
        <v>113.83333333333333</v>
      </c>
      <c r="Y34" s="41">
        <f t="shared" si="40"/>
        <v>113.83333333333333</v>
      </c>
      <c r="Z34" s="41">
        <f t="shared" si="41"/>
        <v>113.83333333333333</v>
      </c>
      <c r="AA34" s="41">
        <f t="shared" si="42"/>
        <v>113.83333333333333</v>
      </c>
      <c r="AB34" s="41">
        <f t="shared" si="43"/>
        <v>113.83333333333333</v>
      </c>
      <c r="AC34" s="41">
        <f t="shared" si="44"/>
        <v>113.83333333333333</v>
      </c>
      <c r="AD34" s="41">
        <f t="shared" si="45"/>
        <v>113.83333333333333</v>
      </c>
      <c r="AE34" s="41">
        <f t="shared" si="46"/>
        <v>113.83333333333333</v>
      </c>
      <c r="AF34" s="41">
        <f t="shared" si="47"/>
        <v>113.83333333333333</v>
      </c>
      <c r="AG34" s="41">
        <f t="shared" si="48"/>
        <v>1365.9999999999998</v>
      </c>
    </row>
    <row r="35" spans="1:33" outlineLevel="1">
      <c r="A35" s="245" t="s">
        <v>549</v>
      </c>
      <c r="B35" s="245" t="s">
        <v>549</v>
      </c>
      <c r="C35" s="248">
        <v>2200</v>
      </c>
      <c r="D35" s="246" t="s">
        <v>456</v>
      </c>
      <c r="E35" s="247">
        <v>205279.8</v>
      </c>
      <c r="F35" s="249" t="s">
        <v>223</v>
      </c>
      <c r="G35" s="41">
        <v>399.16666666666669</v>
      </c>
      <c r="H35" s="41">
        <v>399.16666666666669</v>
      </c>
      <c r="I35" s="41">
        <v>399.16666666666669</v>
      </c>
      <c r="J35" s="41">
        <v>399.16666666666669</v>
      </c>
      <c r="K35" s="41">
        <v>399.16666666666669</v>
      </c>
      <c r="L35" s="41">
        <v>399.16666666666669</v>
      </c>
      <c r="M35" s="41">
        <v>399.16666666666669</v>
      </c>
      <c r="N35" s="41">
        <v>399.16666666666669</v>
      </c>
      <c r="O35" s="41">
        <v>399.16666666666669</v>
      </c>
      <c r="P35" s="41">
        <v>399.16666666666669</v>
      </c>
      <c r="Q35" s="41">
        <v>399.16666666666669</v>
      </c>
      <c r="R35" s="41">
        <v>399</v>
      </c>
      <c r="S35" s="41">
        <f t="shared" si="17"/>
        <v>4789.833333333333</v>
      </c>
      <c r="T35" s="96"/>
      <c r="U35" s="41">
        <f t="shared" si="36"/>
        <v>399</v>
      </c>
      <c r="V35" s="41">
        <f t="shared" si="37"/>
        <v>399</v>
      </c>
      <c r="W35" s="41">
        <f t="shared" si="38"/>
        <v>399</v>
      </c>
      <c r="X35" s="41">
        <f t="shared" si="39"/>
        <v>399</v>
      </c>
      <c r="Y35" s="41">
        <f t="shared" si="40"/>
        <v>399</v>
      </c>
      <c r="Z35" s="41">
        <f t="shared" si="41"/>
        <v>399</v>
      </c>
      <c r="AA35" s="41">
        <f t="shared" si="42"/>
        <v>399</v>
      </c>
      <c r="AB35" s="41">
        <f t="shared" si="43"/>
        <v>399</v>
      </c>
      <c r="AC35" s="41">
        <f t="shared" si="44"/>
        <v>399</v>
      </c>
      <c r="AD35" s="41">
        <f t="shared" si="45"/>
        <v>399</v>
      </c>
      <c r="AE35" s="41">
        <f t="shared" si="46"/>
        <v>399</v>
      </c>
      <c r="AF35" s="41">
        <f t="shared" si="47"/>
        <v>399</v>
      </c>
      <c r="AG35" s="41">
        <f t="shared" si="48"/>
        <v>4788</v>
      </c>
    </row>
    <row r="36" spans="1:33" outlineLevel="1">
      <c r="A36" s="245" t="s">
        <v>550</v>
      </c>
      <c r="B36" s="245" t="s">
        <v>550</v>
      </c>
      <c r="C36" s="248">
        <v>8200</v>
      </c>
      <c r="D36" s="246" t="s">
        <v>65</v>
      </c>
      <c r="E36" s="247">
        <v>129000</v>
      </c>
      <c r="F36" s="249" t="s">
        <v>223</v>
      </c>
      <c r="G36" s="41">
        <v>250.83333333333334</v>
      </c>
      <c r="H36" s="41">
        <v>250.83333333333334</v>
      </c>
      <c r="I36" s="41">
        <v>250.83333333333334</v>
      </c>
      <c r="J36" s="41">
        <v>250.83333333333334</v>
      </c>
      <c r="K36" s="41">
        <v>250.83333333333334</v>
      </c>
      <c r="L36" s="41">
        <v>250.83333333333334</v>
      </c>
      <c r="M36" s="41">
        <v>250.83333333333334</v>
      </c>
      <c r="N36" s="41">
        <v>250.83333333333334</v>
      </c>
      <c r="O36" s="41">
        <v>250.83333333333334</v>
      </c>
      <c r="P36" s="41">
        <v>250.83333333333334</v>
      </c>
      <c r="Q36" s="41">
        <v>250.83333333333334</v>
      </c>
      <c r="R36" s="41">
        <v>250.83333333333334</v>
      </c>
      <c r="S36" s="41">
        <f t="shared" si="17"/>
        <v>3010.0000000000005</v>
      </c>
      <c r="T36" s="96"/>
      <c r="U36" s="41">
        <f t="shared" si="36"/>
        <v>250.83333333333334</v>
      </c>
      <c r="V36" s="41">
        <f t="shared" si="37"/>
        <v>250.83333333333334</v>
      </c>
      <c r="W36" s="41">
        <f t="shared" si="38"/>
        <v>250.83333333333334</v>
      </c>
      <c r="X36" s="41">
        <f t="shared" si="39"/>
        <v>250.83333333333334</v>
      </c>
      <c r="Y36" s="41">
        <f t="shared" si="40"/>
        <v>250.83333333333334</v>
      </c>
      <c r="Z36" s="41">
        <f t="shared" si="41"/>
        <v>250.83333333333334</v>
      </c>
      <c r="AA36" s="41">
        <f t="shared" si="42"/>
        <v>250.83333333333334</v>
      </c>
      <c r="AB36" s="41">
        <f t="shared" si="43"/>
        <v>250.83333333333334</v>
      </c>
      <c r="AC36" s="41">
        <f t="shared" si="44"/>
        <v>250.83333333333334</v>
      </c>
      <c r="AD36" s="41">
        <f t="shared" si="45"/>
        <v>250.83333333333334</v>
      </c>
      <c r="AE36" s="41">
        <f t="shared" si="46"/>
        <v>250.83333333333334</v>
      </c>
      <c r="AF36" s="41">
        <f t="shared" si="47"/>
        <v>250.83333333333334</v>
      </c>
      <c r="AG36" s="41">
        <f t="shared" si="48"/>
        <v>3010.0000000000005</v>
      </c>
    </row>
    <row r="37" spans="1:33" outlineLevel="1">
      <c r="A37" s="245" t="s">
        <v>551</v>
      </c>
      <c r="B37" s="245" t="s">
        <v>551</v>
      </c>
      <c r="C37" s="248">
        <v>8200</v>
      </c>
      <c r="D37" s="246" t="s">
        <v>65</v>
      </c>
      <c r="E37" s="247">
        <v>41638</v>
      </c>
      <c r="F37" s="249" t="s">
        <v>223</v>
      </c>
      <c r="G37" s="41">
        <v>92.666666666666671</v>
      </c>
      <c r="H37" s="41">
        <v>92.666666666666671</v>
      </c>
      <c r="I37" s="41">
        <v>92.666666666666671</v>
      </c>
      <c r="J37" s="41">
        <v>92.666666666666671</v>
      </c>
      <c r="K37" s="41">
        <v>92.666666666666671</v>
      </c>
      <c r="L37" s="41">
        <v>92.666666666666671</v>
      </c>
      <c r="M37" s="41">
        <v>92.666666666666671</v>
      </c>
      <c r="N37" s="41">
        <v>92.666666666666671</v>
      </c>
      <c r="O37" s="41">
        <v>92.666666666666671</v>
      </c>
      <c r="P37" s="41">
        <v>92.666666666666671</v>
      </c>
      <c r="Q37" s="41">
        <v>92.666666666666671</v>
      </c>
      <c r="R37" s="41">
        <v>91</v>
      </c>
      <c r="S37" s="41">
        <f t="shared" si="17"/>
        <v>1110.333333333333</v>
      </c>
      <c r="T37" s="96"/>
      <c r="U37" s="41">
        <f t="shared" si="36"/>
        <v>91</v>
      </c>
      <c r="V37" s="41">
        <f t="shared" si="37"/>
        <v>91</v>
      </c>
      <c r="W37" s="41">
        <f t="shared" si="38"/>
        <v>91</v>
      </c>
      <c r="X37" s="41">
        <f t="shared" si="39"/>
        <v>91</v>
      </c>
      <c r="Y37" s="41">
        <f t="shared" si="40"/>
        <v>91</v>
      </c>
      <c r="Z37" s="41">
        <f t="shared" si="41"/>
        <v>91</v>
      </c>
      <c r="AA37" s="41">
        <f t="shared" si="42"/>
        <v>91</v>
      </c>
      <c r="AB37" s="41">
        <f t="shared" si="43"/>
        <v>91</v>
      </c>
      <c r="AC37" s="41">
        <f t="shared" si="44"/>
        <v>91</v>
      </c>
      <c r="AD37" s="41">
        <f t="shared" si="45"/>
        <v>91</v>
      </c>
      <c r="AE37" s="41">
        <f t="shared" si="46"/>
        <v>91</v>
      </c>
      <c r="AF37" s="41">
        <f t="shared" si="47"/>
        <v>91</v>
      </c>
      <c r="AG37" s="41">
        <f t="shared" si="48"/>
        <v>1092</v>
      </c>
    </row>
    <row r="38" spans="1:33" outlineLevel="1">
      <c r="A38" s="245" t="s">
        <v>552</v>
      </c>
      <c r="B38" s="245" t="s">
        <v>552</v>
      </c>
      <c r="C38" s="248">
        <v>6100</v>
      </c>
      <c r="D38" s="246" t="s">
        <v>65</v>
      </c>
      <c r="E38" s="247">
        <v>190162.56</v>
      </c>
      <c r="F38" s="249" t="s">
        <v>223</v>
      </c>
      <c r="G38" s="41">
        <v>422.66666666666669</v>
      </c>
      <c r="H38" s="41">
        <v>422.66666666666669</v>
      </c>
      <c r="I38" s="41">
        <v>422.66666666666669</v>
      </c>
      <c r="J38" s="41">
        <v>422.66666666666669</v>
      </c>
      <c r="K38" s="41">
        <v>422.66666666666669</v>
      </c>
      <c r="L38" s="41">
        <v>422.66666666666669</v>
      </c>
      <c r="M38" s="41">
        <v>422.66666666666669</v>
      </c>
      <c r="N38" s="41">
        <v>422.66666666666669</v>
      </c>
      <c r="O38" s="41">
        <v>422.66666666666669</v>
      </c>
      <c r="P38" s="41">
        <v>422.66666666666669</v>
      </c>
      <c r="Q38" s="41">
        <v>422.66666666666669</v>
      </c>
      <c r="R38" s="41">
        <v>421.66666666666669</v>
      </c>
      <c r="S38" s="41">
        <f t="shared" si="17"/>
        <v>5071</v>
      </c>
      <c r="T38" s="96"/>
      <c r="U38" s="41">
        <f t="shared" si="36"/>
        <v>421.66666666666669</v>
      </c>
      <c r="V38" s="41">
        <f t="shared" si="37"/>
        <v>421.66666666666669</v>
      </c>
      <c r="W38" s="41">
        <f t="shared" si="38"/>
        <v>421.66666666666669</v>
      </c>
      <c r="X38" s="41">
        <f t="shared" si="39"/>
        <v>421.66666666666669</v>
      </c>
      <c r="Y38" s="41">
        <f t="shared" si="40"/>
        <v>421.66666666666669</v>
      </c>
      <c r="Z38" s="41">
        <f t="shared" si="41"/>
        <v>421.66666666666669</v>
      </c>
      <c r="AA38" s="41">
        <f t="shared" si="42"/>
        <v>421.66666666666669</v>
      </c>
      <c r="AB38" s="41">
        <f t="shared" si="43"/>
        <v>421.66666666666669</v>
      </c>
      <c r="AC38" s="41">
        <f t="shared" si="44"/>
        <v>421.66666666666669</v>
      </c>
      <c r="AD38" s="41">
        <f t="shared" si="45"/>
        <v>421.66666666666669</v>
      </c>
      <c r="AE38" s="41">
        <f t="shared" si="46"/>
        <v>421.66666666666669</v>
      </c>
      <c r="AF38" s="41">
        <f t="shared" si="47"/>
        <v>421.66666666666669</v>
      </c>
      <c r="AG38" s="41">
        <f t="shared" si="48"/>
        <v>5060</v>
      </c>
    </row>
    <row r="39" spans="1:33" outlineLevel="1">
      <c r="A39" s="245" t="s">
        <v>553</v>
      </c>
      <c r="B39" s="245" t="s">
        <v>553</v>
      </c>
      <c r="C39" s="248">
        <v>6100</v>
      </c>
      <c r="D39" s="246" t="s">
        <v>65</v>
      </c>
      <c r="E39" s="247">
        <v>262312.92</v>
      </c>
      <c r="F39" s="249" t="s">
        <v>223</v>
      </c>
      <c r="G39" s="41">
        <v>583</v>
      </c>
      <c r="H39" s="41">
        <v>583</v>
      </c>
      <c r="I39" s="41">
        <v>583</v>
      </c>
      <c r="J39" s="41">
        <v>583</v>
      </c>
      <c r="K39" s="41">
        <v>583</v>
      </c>
      <c r="L39" s="41">
        <v>583</v>
      </c>
      <c r="M39" s="41">
        <v>583</v>
      </c>
      <c r="N39" s="41">
        <v>583</v>
      </c>
      <c r="O39" s="41">
        <v>583</v>
      </c>
      <c r="P39" s="41">
        <v>583</v>
      </c>
      <c r="Q39" s="41">
        <v>583</v>
      </c>
      <c r="R39" s="41">
        <v>582</v>
      </c>
      <c r="S39" s="41">
        <f t="shared" si="17"/>
        <v>6995</v>
      </c>
      <c r="T39" s="96"/>
      <c r="U39" s="41">
        <f t="shared" si="36"/>
        <v>582</v>
      </c>
      <c r="V39" s="41">
        <f t="shared" si="37"/>
        <v>582</v>
      </c>
      <c r="W39" s="41">
        <f t="shared" si="38"/>
        <v>582</v>
      </c>
      <c r="X39" s="41">
        <f t="shared" si="39"/>
        <v>582</v>
      </c>
      <c r="Y39" s="41">
        <f t="shared" si="40"/>
        <v>582</v>
      </c>
      <c r="Z39" s="41">
        <f t="shared" si="41"/>
        <v>582</v>
      </c>
      <c r="AA39" s="41">
        <f t="shared" si="42"/>
        <v>582</v>
      </c>
      <c r="AB39" s="41">
        <f t="shared" si="43"/>
        <v>582</v>
      </c>
      <c r="AC39" s="41">
        <f t="shared" si="44"/>
        <v>582</v>
      </c>
      <c r="AD39" s="41">
        <f t="shared" si="45"/>
        <v>582</v>
      </c>
      <c r="AE39" s="41">
        <f t="shared" si="46"/>
        <v>582</v>
      </c>
      <c r="AF39" s="41">
        <f t="shared" si="47"/>
        <v>582</v>
      </c>
      <c r="AG39" s="41">
        <f t="shared" si="48"/>
        <v>6984</v>
      </c>
    </row>
    <row r="40" spans="1:33" outlineLevel="1">
      <c r="A40" s="245" t="s">
        <v>554</v>
      </c>
      <c r="B40" s="245" t="s">
        <v>554</v>
      </c>
      <c r="C40" s="248">
        <v>8200</v>
      </c>
      <c r="D40" s="246" t="s">
        <v>65</v>
      </c>
      <c r="E40" s="247">
        <v>40000</v>
      </c>
      <c r="F40" s="249" t="s">
        <v>223</v>
      </c>
      <c r="G40" s="41">
        <v>89</v>
      </c>
      <c r="H40" s="41">
        <v>89</v>
      </c>
      <c r="I40" s="41">
        <v>89</v>
      </c>
      <c r="J40" s="41">
        <v>89</v>
      </c>
      <c r="K40" s="41">
        <v>89</v>
      </c>
      <c r="L40" s="41">
        <v>89</v>
      </c>
      <c r="M40" s="41">
        <v>89</v>
      </c>
      <c r="N40" s="41">
        <v>89</v>
      </c>
      <c r="O40" s="41">
        <v>89</v>
      </c>
      <c r="P40" s="41">
        <v>89</v>
      </c>
      <c r="Q40" s="41">
        <v>89</v>
      </c>
      <c r="R40" s="41">
        <v>87.666666666666671</v>
      </c>
      <c r="S40" s="41">
        <f t="shared" si="17"/>
        <v>1066.6666666666667</v>
      </c>
      <c r="T40" s="96"/>
      <c r="U40" s="41">
        <f t="shared" si="36"/>
        <v>87.666666666666671</v>
      </c>
      <c r="V40" s="41">
        <f t="shared" si="37"/>
        <v>87.666666666666671</v>
      </c>
      <c r="W40" s="41">
        <f t="shared" si="38"/>
        <v>87.666666666666671</v>
      </c>
      <c r="X40" s="41">
        <f t="shared" si="39"/>
        <v>87.666666666666671</v>
      </c>
      <c r="Y40" s="41">
        <f t="shared" si="40"/>
        <v>87.666666666666671</v>
      </c>
      <c r="Z40" s="41">
        <f t="shared" si="41"/>
        <v>87.666666666666671</v>
      </c>
      <c r="AA40" s="41">
        <f t="shared" si="42"/>
        <v>87.666666666666671</v>
      </c>
      <c r="AB40" s="41">
        <f t="shared" si="43"/>
        <v>87.666666666666671</v>
      </c>
      <c r="AC40" s="41">
        <f t="shared" si="44"/>
        <v>87.666666666666671</v>
      </c>
      <c r="AD40" s="41">
        <f t="shared" si="45"/>
        <v>87.666666666666671</v>
      </c>
      <c r="AE40" s="41">
        <f t="shared" si="46"/>
        <v>87.666666666666671</v>
      </c>
      <c r="AF40" s="41">
        <f t="shared" si="47"/>
        <v>87.666666666666671</v>
      </c>
      <c r="AG40" s="41">
        <f t="shared" si="48"/>
        <v>1051.9999999999998</v>
      </c>
    </row>
    <row r="41" spans="1:33" outlineLevel="1">
      <c r="A41" s="245" t="s">
        <v>555</v>
      </c>
      <c r="B41" s="245" t="s">
        <v>555</v>
      </c>
      <c r="C41" s="248">
        <v>2200</v>
      </c>
      <c r="D41" s="246" t="s">
        <v>456</v>
      </c>
      <c r="E41" s="247">
        <v>129544</v>
      </c>
      <c r="F41" s="249" t="s">
        <v>221</v>
      </c>
      <c r="G41" s="41">
        <v>112</v>
      </c>
      <c r="H41" s="41">
        <v>112</v>
      </c>
      <c r="I41" s="41">
        <v>112</v>
      </c>
      <c r="J41" s="41">
        <v>112</v>
      </c>
      <c r="K41" s="41">
        <v>112</v>
      </c>
      <c r="L41" s="41">
        <v>112</v>
      </c>
      <c r="M41" s="41">
        <v>112</v>
      </c>
      <c r="N41" s="41">
        <v>112</v>
      </c>
      <c r="O41" s="41">
        <v>112</v>
      </c>
      <c r="P41" s="41">
        <v>112</v>
      </c>
      <c r="Q41" s="41">
        <v>112</v>
      </c>
      <c r="R41" s="41">
        <v>111.5</v>
      </c>
      <c r="S41" s="41">
        <f t="shared" si="17"/>
        <v>1343.5</v>
      </c>
      <c r="T41" s="96"/>
      <c r="U41" s="41">
        <f t="shared" si="36"/>
        <v>111.5</v>
      </c>
      <c r="V41" s="41">
        <f t="shared" si="37"/>
        <v>111.5</v>
      </c>
      <c r="W41" s="41">
        <f t="shared" si="38"/>
        <v>111.5</v>
      </c>
      <c r="X41" s="41">
        <f t="shared" si="39"/>
        <v>111.5</v>
      </c>
      <c r="Y41" s="41">
        <f t="shared" si="40"/>
        <v>111.5</v>
      </c>
      <c r="Z41" s="41">
        <f t="shared" si="41"/>
        <v>111.5</v>
      </c>
      <c r="AA41" s="41">
        <f t="shared" si="42"/>
        <v>111.5</v>
      </c>
      <c r="AB41" s="41">
        <f t="shared" si="43"/>
        <v>111.5</v>
      </c>
      <c r="AC41" s="41">
        <f t="shared" si="44"/>
        <v>111.5</v>
      </c>
      <c r="AD41" s="41">
        <f t="shared" si="45"/>
        <v>111.5</v>
      </c>
      <c r="AE41" s="41">
        <f t="shared" si="46"/>
        <v>111.5</v>
      </c>
      <c r="AF41" s="41">
        <f t="shared" si="47"/>
        <v>111.5</v>
      </c>
      <c r="AG41" s="41">
        <f t="shared" si="48"/>
        <v>1338</v>
      </c>
    </row>
    <row r="42" spans="1:33" outlineLevel="1">
      <c r="A42" s="245" t="s">
        <v>556</v>
      </c>
      <c r="B42" s="245" t="s">
        <v>556</v>
      </c>
      <c r="C42" s="248">
        <v>1100</v>
      </c>
      <c r="D42" s="246" t="s">
        <v>149</v>
      </c>
      <c r="E42" s="247">
        <v>1372800</v>
      </c>
      <c r="F42" s="249" t="s">
        <v>224</v>
      </c>
      <c r="G42" s="41">
        <v>6101.333333333333</v>
      </c>
      <c r="H42" s="41">
        <v>6101.333333333333</v>
      </c>
      <c r="I42" s="41">
        <v>6101.333333333333</v>
      </c>
      <c r="J42" s="41">
        <v>6101.333333333333</v>
      </c>
      <c r="K42" s="41">
        <v>6101.333333333333</v>
      </c>
      <c r="L42" s="41">
        <v>6101.333333333333</v>
      </c>
      <c r="M42" s="41">
        <v>6101.333333333333</v>
      </c>
      <c r="N42" s="41">
        <v>6101.333333333333</v>
      </c>
      <c r="O42" s="41">
        <v>6101.333333333333</v>
      </c>
      <c r="P42" s="41">
        <v>6101.333333333333</v>
      </c>
      <c r="Q42" s="41">
        <v>6101.333333333333</v>
      </c>
      <c r="R42" s="41">
        <v>6101.333333333333</v>
      </c>
      <c r="S42" s="41">
        <f t="shared" si="17"/>
        <v>73216</v>
      </c>
      <c r="T42" s="96"/>
      <c r="U42" s="41">
        <f t="shared" si="36"/>
        <v>6101.333333333333</v>
      </c>
      <c r="V42" s="41">
        <f t="shared" si="37"/>
        <v>6101.333333333333</v>
      </c>
      <c r="W42" s="41">
        <f t="shared" si="38"/>
        <v>6101.333333333333</v>
      </c>
      <c r="X42" s="41">
        <f t="shared" si="39"/>
        <v>6101.333333333333</v>
      </c>
      <c r="Y42" s="41">
        <f t="shared" si="40"/>
        <v>6101.333333333333</v>
      </c>
      <c r="Z42" s="41">
        <f t="shared" si="41"/>
        <v>6101.333333333333</v>
      </c>
      <c r="AA42" s="41">
        <f t="shared" si="42"/>
        <v>6101.333333333333</v>
      </c>
      <c r="AB42" s="41">
        <f t="shared" si="43"/>
        <v>6101.333333333333</v>
      </c>
      <c r="AC42" s="41">
        <f t="shared" si="44"/>
        <v>6101.333333333333</v>
      </c>
      <c r="AD42" s="41">
        <f t="shared" si="45"/>
        <v>6101.333333333333</v>
      </c>
      <c r="AE42" s="41">
        <f t="shared" si="46"/>
        <v>6101.333333333333</v>
      </c>
      <c r="AF42" s="41">
        <f t="shared" si="47"/>
        <v>6101.333333333333</v>
      </c>
      <c r="AG42" s="41">
        <f t="shared" si="48"/>
        <v>73216</v>
      </c>
    </row>
    <row r="43" spans="1:33" outlineLevel="1">
      <c r="A43" s="245" t="s">
        <v>557</v>
      </c>
      <c r="B43" s="245" t="s">
        <v>557</v>
      </c>
      <c r="C43" s="248">
        <v>8200</v>
      </c>
      <c r="D43" s="246" t="s">
        <v>65</v>
      </c>
      <c r="E43" s="247">
        <v>95249</v>
      </c>
      <c r="F43" s="249" t="s">
        <v>225</v>
      </c>
      <c r="G43" s="41">
        <v>294.5</v>
      </c>
      <c r="H43" s="41">
        <v>294.5</v>
      </c>
      <c r="I43" s="41">
        <v>294.5</v>
      </c>
      <c r="J43" s="41">
        <v>294.5</v>
      </c>
      <c r="K43" s="41">
        <v>294.5</v>
      </c>
      <c r="L43" s="41">
        <v>294.5</v>
      </c>
      <c r="M43" s="41">
        <v>294.5</v>
      </c>
      <c r="N43" s="41">
        <v>294.5</v>
      </c>
      <c r="O43" s="41">
        <v>294.5</v>
      </c>
      <c r="P43" s="41">
        <v>294.5</v>
      </c>
      <c r="Q43" s="41">
        <v>294.5</v>
      </c>
      <c r="R43" s="41">
        <v>292.66666666666669</v>
      </c>
      <c r="S43" s="41">
        <f t="shared" si="17"/>
        <v>3532.1666666666665</v>
      </c>
      <c r="T43" s="96"/>
      <c r="U43" s="41">
        <f t="shared" si="36"/>
        <v>292.66666666666669</v>
      </c>
      <c r="V43" s="41">
        <f t="shared" si="37"/>
        <v>292.66666666666669</v>
      </c>
      <c r="W43" s="41">
        <f t="shared" si="38"/>
        <v>292.66666666666669</v>
      </c>
      <c r="X43" s="41">
        <f t="shared" si="39"/>
        <v>292.66666666666669</v>
      </c>
      <c r="Y43" s="41">
        <f t="shared" si="40"/>
        <v>292.66666666666669</v>
      </c>
      <c r="Z43" s="41">
        <f t="shared" si="41"/>
        <v>292.66666666666669</v>
      </c>
      <c r="AA43" s="41">
        <f t="shared" si="42"/>
        <v>292.66666666666669</v>
      </c>
      <c r="AB43" s="41">
        <f t="shared" si="43"/>
        <v>292.66666666666669</v>
      </c>
      <c r="AC43" s="41">
        <f t="shared" si="44"/>
        <v>292.66666666666669</v>
      </c>
      <c r="AD43" s="41">
        <f t="shared" si="45"/>
        <v>292.66666666666669</v>
      </c>
      <c r="AE43" s="41">
        <f t="shared" si="46"/>
        <v>292.66666666666669</v>
      </c>
      <c r="AF43" s="41">
        <f t="shared" si="47"/>
        <v>292.66666666666669</v>
      </c>
      <c r="AG43" s="41">
        <f t="shared" si="48"/>
        <v>3511.9999999999995</v>
      </c>
    </row>
    <row r="44" spans="1:33" outlineLevel="1">
      <c r="A44" s="245" t="s">
        <v>558</v>
      </c>
      <c r="B44" s="245" t="s">
        <v>558</v>
      </c>
      <c r="C44" s="248">
        <v>6100</v>
      </c>
      <c r="D44" s="246" t="s">
        <v>65</v>
      </c>
      <c r="E44" s="247">
        <v>350000</v>
      </c>
      <c r="F44" s="249" t="s">
        <v>224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11666.666666666666</v>
      </c>
      <c r="S44" s="41">
        <f t="shared" si="17"/>
        <v>11666.666666666666</v>
      </c>
      <c r="T44" s="96"/>
      <c r="U44" s="41">
        <f t="shared" si="36"/>
        <v>11666.666666666666</v>
      </c>
      <c r="V44" s="41">
        <f t="shared" si="37"/>
        <v>11666.666666666666</v>
      </c>
      <c r="W44" s="41">
        <f t="shared" si="38"/>
        <v>11666.666666666666</v>
      </c>
      <c r="X44" s="41">
        <f t="shared" si="39"/>
        <v>11666.666666666666</v>
      </c>
      <c r="Y44" s="41">
        <f t="shared" si="40"/>
        <v>11666.666666666666</v>
      </c>
      <c r="Z44" s="41">
        <f t="shared" si="41"/>
        <v>11666.666666666666</v>
      </c>
      <c r="AA44" s="41">
        <f t="shared" si="42"/>
        <v>11666.666666666666</v>
      </c>
      <c r="AB44" s="41">
        <f t="shared" si="43"/>
        <v>11666.666666666666</v>
      </c>
      <c r="AC44" s="41">
        <f t="shared" si="44"/>
        <v>11666.666666666666</v>
      </c>
      <c r="AD44" s="41">
        <f t="shared" si="45"/>
        <v>11666.666666666666</v>
      </c>
      <c r="AE44" s="41">
        <f t="shared" si="46"/>
        <v>11666.666666666666</v>
      </c>
      <c r="AF44" s="41">
        <f t="shared" si="47"/>
        <v>11666.666666666666</v>
      </c>
      <c r="AG44" s="41">
        <f t="shared" si="48"/>
        <v>140000.00000000003</v>
      </c>
    </row>
    <row r="45" spans="1:33" outlineLevel="1">
      <c r="A45" s="245" t="s">
        <v>559</v>
      </c>
      <c r="B45" s="245" t="s">
        <v>559</v>
      </c>
      <c r="C45" s="248">
        <v>2200</v>
      </c>
      <c r="D45" s="246" t="s">
        <v>456</v>
      </c>
      <c r="E45" s="247">
        <v>1608129</v>
      </c>
      <c r="F45" s="249" t="s">
        <v>224</v>
      </c>
      <c r="G45" s="41">
        <v>0</v>
      </c>
      <c r="H45" s="41">
        <v>4873.166666666667</v>
      </c>
      <c r="I45" s="41">
        <v>4873.166666666667</v>
      </c>
      <c r="J45" s="41">
        <v>4873.166666666667</v>
      </c>
      <c r="K45" s="41">
        <v>4873.166666666667</v>
      </c>
      <c r="L45" s="41">
        <v>4873.166666666667</v>
      </c>
      <c r="M45" s="41">
        <v>4873.166666666667</v>
      </c>
      <c r="N45" s="41">
        <v>4873.166666666667</v>
      </c>
      <c r="O45" s="41">
        <v>4873.166666666667</v>
      </c>
      <c r="P45" s="41">
        <v>4873.166666666667</v>
      </c>
      <c r="Q45" s="41">
        <v>4873.166666666667</v>
      </c>
      <c r="R45" s="41">
        <v>4872.666666666667</v>
      </c>
      <c r="S45" s="41">
        <f t="shared" si="17"/>
        <v>53604.333333333328</v>
      </c>
      <c r="T45" s="96"/>
      <c r="U45" s="41">
        <f t="shared" si="36"/>
        <v>4872.666666666667</v>
      </c>
      <c r="V45" s="41">
        <f t="shared" si="37"/>
        <v>4872.666666666667</v>
      </c>
      <c r="W45" s="41">
        <f t="shared" si="38"/>
        <v>4872.666666666667</v>
      </c>
      <c r="X45" s="41">
        <f t="shared" si="39"/>
        <v>4872.666666666667</v>
      </c>
      <c r="Y45" s="41">
        <f t="shared" si="40"/>
        <v>4872.666666666667</v>
      </c>
      <c r="Z45" s="41">
        <f t="shared" si="41"/>
        <v>4872.666666666667</v>
      </c>
      <c r="AA45" s="41">
        <f t="shared" si="42"/>
        <v>4872.666666666667</v>
      </c>
      <c r="AB45" s="41">
        <f t="shared" si="43"/>
        <v>4872.666666666667</v>
      </c>
      <c r="AC45" s="41">
        <f t="shared" si="44"/>
        <v>4872.666666666667</v>
      </c>
      <c r="AD45" s="41">
        <f t="shared" si="45"/>
        <v>4872.666666666667</v>
      </c>
      <c r="AE45" s="41">
        <f t="shared" si="46"/>
        <v>4872.666666666667</v>
      </c>
      <c r="AF45" s="41">
        <f t="shared" si="47"/>
        <v>4872.666666666667</v>
      </c>
      <c r="AG45" s="41">
        <f t="shared" si="48"/>
        <v>58471.999999999993</v>
      </c>
    </row>
    <row r="46" spans="1:33" outlineLevel="1">
      <c r="A46" s="245" t="s">
        <v>560</v>
      </c>
      <c r="B46" s="245" t="s">
        <v>560</v>
      </c>
      <c r="C46" s="248">
        <v>2200</v>
      </c>
      <c r="D46" s="246" t="s">
        <v>456</v>
      </c>
      <c r="E46" s="247">
        <v>50022</v>
      </c>
      <c r="F46" s="249" t="s">
        <v>226</v>
      </c>
      <c r="G46" s="41">
        <v>73</v>
      </c>
      <c r="H46" s="41">
        <v>73</v>
      </c>
      <c r="I46" s="41">
        <v>73</v>
      </c>
      <c r="J46" s="41">
        <v>73</v>
      </c>
      <c r="K46" s="41">
        <v>73</v>
      </c>
      <c r="L46" s="41">
        <v>73</v>
      </c>
      <c r="M46" s="41">
        <v>73</v>
      </c>
      <c r="N46" s="41">
        <v>73</v>
      </c>
      <c r="O46" s="41">
        <v>73</v>
      </c>
      <c r="P46" s="41">
        <v>73</v>
      </c>
      <c r="Q46" s="41">
        <v>73</v>
      </c>
      <c r="R46" s="41">
        <v>72.5</v>
      </c>
      <c r="S46" s="41">
        <f t="shared" si="17"/>
        <v>875.5</v>
      </c>
      <c r="T46" s="96"/>
      <c r="U46" s="41">
        <f t="shared" si="36"/>
        <v>72.5</v>
      </c>
      <c r="V46" s="41">
        <f t="shared" si="37"/>
        <v>72.5</v>
      </c>
      <c r="W46" s="41">
        <f t="shared" si="38"/>
        <v>72.5</v>
      </c>
      <c r="X46" s="41">
        <f t="shared" si="39"/>
        <v>72.5</v>
      </c>
      <c r="Y46" s="41">
        <f t="shared" si="40"/>
        <v>72.5</v>
      </c>
      <c r="Z46" s="41">
        <f t="shared" si="41"/>
        <v>72.5</v>
      </c>
      <c r="AA46" s="41">
        <f t="shared" si="42"/>
        <v>72.5</v>
      </c>
      <c r="AB46" s="41">
        <f t="shared" si="43"/>
        <v>72.5</v>
      </c>
      <c r="AC46" s="41">
        <f t="shared" si="44"/>
        <v>72.5</v>
      </c>
      <c r="AD46" s="41">
        <f t="shared" si="45"/>
        <v>72.5</v>
      </c>
      <c r="AE46" s="41">
        <f t="shared" si="46"/>
        <v>72.5</v>
      </c>
      <c r="AF46" s="41">
        <f t="shared" si="47"/>
        <v>72.5</v>
      </c>
      <c r="AG46" s="41">
        <f t="shared" si="48"/>
        <v>870</v>
      </c>
    </row>
    <row r="47" spans="1:33" outlineLevel="1">
      <c r="A47" s="245" t="s">
        <v>561</v>
      </c>
      <c r="B47" s="245" t="s">
        <v>561</v>
      </c>
      <c r="C47" s="248">
        <v>7300</v>
      </c>
      <c r="D47" s="246" t="s">
        <v>70</v>
      </c>
      <c r="E47" s="247">
        <v>288570</v>
      </c>
      <c r="F47" s="249" t="s">
        <v>227</v>
      </c>
      <c r="G47" s="41">
        <v>0</v>
      </c>
      <c r="H47" s="41">
        <v>0</v>
      </c>
      <c r="I47" s="41">
        <v>0</v>
      </c>
      <c r="J47" s="41">
        <v>1336</v>
      </c>
      <c r="K47" s="41">
        <v>1336</v>
      </c>
      <c r="L47" s="41">
        <v>1336</v>
      </c>
      <c r="M47" s="41">
        <v>1336</v>
      </c>
      <c r="N47" s="41">
        <v>1336</v>
      </c>
      <c r="O47" s="41">
        <v>1336</v>
      </c>
      <c r="P47" s="41">
        <v>1336</v>
      </c>
      <c r="Q47" s="41">
        <v>1336</v>
      </c>
      <c r="R47" s="41">
        <v>1336</v>
      </c>
      <c r="S47" s="41">
        <f t="shared" si="17"/>
        <v>12024</v>
      </c>
      <c r="T47" s="96"/>
      <c r="U47" s="41">
        <f t="shared" si="36"/>
        <v>1336</v>
      </c>
      <c r="V47" s="41">
        <f t="shared" si="37"/>
        <v>1336</v>
      </c>
      <c r="W47" s="41">
        <f t="shared" si="38"/>
        <v>1336</v>
      </c>
      <c r="X47" s="41">
        <f t="shared" si="39"/>
        <v>1336</v>
      </c>
      <c r="Y47" s="41">
        <f t="shared" si="40"/>
        <v>1336</v>
      </c>
      <c r="Z47" s="41">
        <f t="shared" si="41"/>
        <v>1336</v>
      </c>
      <c r="AA47" s="41">
        <f t="shared" si="42"/>
        <v>1336</v>
      </c>
      <c r="AB47" s="41">
        <f t="shared" si="43"/>
        <v>1336</v>
      </c>
      <c r="AC47" s="41">
        <f t="shared" si="44"/>
        <v>1336</v>
      </c>
      <c r="AD47" s="41">
        <f t="shared" si="45"/>
        <v>1336</v>
      </c>
      <c r="AE47" s="41">
        <f t="shared" si="46"/>
        <v>1336</v>
      </c>
      <c r="AF47" s="41">
        <f t="shared" si="47"/>
        <v>1336</v>
      </c>
      <c r="AG47" s="41">
        <f t="shared" si="48"/>
        <v>16032</v>
      </c>
    </row>
    <row r="48" spans="1:33" outlineLevel="1">
      <c r="A48" s="245" t="s">
        <v>562</v>
      </c>
      <c r="B48" s="245" t="s">
        <v>562</v>
      </c>
      <c r="C48" s="248">
        <v>7300</v>
      </c>
      <c r="D48" s="246" t="s">
        <v>70</v>
      </c>
      <c r="E48" s="247">
        <v>125490</v>
      </c>
      <c r="F48" s="249" t="s">
        <v>227</v>
      </c>
      <c r="G48" s="41">
        <v>0</v>
      </c>
      <c r="H48" s="41">
        <v>0</v>
      </c>
      <c r="I48" s="41">
        <v>0</v>
      </c>
      <c r="J48" s="41">
        <v>581</v>
      </c>
      <c r="K48" s="41">
        <v>581</v>
      </c>
      <c r="L48" s="41">
        <v>581</v>
      </c>
      <c r="M48" s="41">
        <v>581</v>
      </c>
      <c r="N48" s="41">
        <v>581</v>
      </c>
      <c r="O48" s="41">
        <v>581</v>
      </c>
      <c r="P48" s="41">
        <v>581</v>
      </c>
      <c r="Q48" s="41">
        <v>581</v>
      </c>
      <c r="R48" s="41">
        <v>581</v>
      </c>
      <c r="S48" s="41">
        <f t="shared" si="17"/>
        <v>5229</v>
      </c>
      <c r="T48" s="96"/>
      <c r="U48" s="41">
        <f t="shared" si="36"/>
        <v>581</v>
      </c>
      <c r="V48" s="41">
        <f t="shared" si="37"/>
        <v>581</v>
      </c>
      <c r="W48" s="41">
        <f t="shared" si="38"/>
        <v>581</v>
      </c>
      <c r="X48" s="41">
        <f t="shared" si="39"/>
        <v>581</v>
      </c>
      <c r="Y48" s="41">
        <f t="shared" si="40"/>
        <v>581</v>
      </c>
      <c r="Z48" s="41">
        <f t="shared" si="41"/>
        <v>581</v>
      </c>
      <c r="AA48" s="41">
        <f t="shared" si="42"/>
        <v>581</v>
      </c>
      <c r="AB48" s="41">
        <f t="shared" si="43"/>
        <v>581</v>
      </c>
      <c r="AC48" s="41">
        <f t="shared" si="44"/>
        <v>581</v>
      </c>
      <c r="AD48" s="41">
        <f t="shared" si="45"/>
        <v>581</v>
      </c>
      <c r="AE48" s="41">
        <f t="shared" si="46"/>
        <v>581</v>
      </c>
      <c r="AF48" s="41">
        <f t="shared" si="47"/>
        <v>581</v>
      </c>
      <c r="AG48" s="41">
        <f t="shared" si="48"/>
        <v>6972</v>
      </c>
    </row>
    <row r="49" spans="1:33" s="127" customFormat="1" outlineLevel="1">
      <c r="A49" s="242"/>
      <c r="B49" s="242" t="s">
        <v>229</v>
      </c>
      <c r="C49" s="242"/>
      <c r="D49" s="252"/>
      <c r="E49" s="257">
        <f>SUM(E25:E48)</f>
        <v>17600303.900000002</v>
      </c>
      <c r="F49" s="242"/>
      <c r="G49" s="244">
        <f t="shared" ref="G49:S49" si="49">SUM(G25:G48)</f>
        <v>15917.722222222223</v>
      </c>
      <c r="H49" s="244">
        <f t="shared" si="49"/>
        <v>20790.888888888891</v>
      </c>
      <c r="I49" s="244">
        <f t="shared" si="49"/>
        <v>20790.888888888891</v>
      </c>
      <c r="J49" s="244">
        <f t="shared" si="49"/>
        <v>22707.888888888891</v>
      </c>
      <c r="K49" s="244">
        <f t="shared" si="49"/>
        <v>23084.555555555555</v>
      </c>
      <c r="L49" s="244">
        <f t="shared" si="49"/>
        <v>23084.555555555555</v>
      </c>
      <c r="M49" s="244">
        <f t="shared" si="49"/>
        <v>23084.555555555555</v>
      </c>
      <c r="N49" s="244">
        <f t="shared" si="49"/>
        <v>23084.555555555555</v>
      </c>
      <c r="O49" s="244">
        <f t="shared" si="49"/>
        <v>23084.555555555555</v>
      </c>
      <c r="P49" s="244">
        <f t="shared" si="49"/>
        <v>23084.555555555555</v>
      </c>
      <c r="Q49" s="244">
        <f t="shared" si="49"/>
        <v>23084.555555555555</v>
      </c>
      <c r="R49" s="244">
        <f t="shared" si="49"/>
        <v>34736.388888888891</v>
      </c>
      <c r="S49" s="244">
        <f t="shared" si="49"/>
        <v>276535.66666666663</v>
      </c>
      <c r="U49" s="244">
        <f t="shared" ref="U49:AG49" si="50">SUM(U25:U48)</f>
        <v>34736.388888888891</v>
      </c>
      <c r="V49" s="244">
        <f t="shared" si="50"/>
        <v>34736.388888888891</v>
      </c>
      <c r="W49" s="244">
        <f t="shared" si="50"/>
        <v>34736.388888888891</v>
      </c>
      <c r="X49" s="244">
        <f t="shared" si="50"/>
        <v>34736.388888888891</v>
      </c>
      <c r="Y49" s="244">
        <f t="shared" si="50"/>
        <v>34736.388888888891</v>
      </c>
      <c r="Z49" s="244">
        <f t="shared" si="50"/>
        <v>34736.388888888891</v>
      </c>
      <c r="AA49" s="244">
        <f t="shared" si="50"/>
        <v>34736.388888888891</v>
      </c>
      <c r="AB49" s="244">
        <f t="shared" si="50"/>
        <v>34736.388888888891</v>
      </c>
      <c r="AC49" s="244">
        <f t="shared" si="50"/>
        <v>34736.388888888891</v>
      </c>
      <c r="AD49" s="244">
        <f t="shared" si="50"/>
        <v>34736.388888888891</v>
      </c>
      <c r="AE49" s="244">
        <f t="shared" si="50"/>
        <v>34736.388888888891</v>
      </c>
      <c r="AF49" s="244">
        <f t="shared" si="50"/>
        <v>34736.388888888891</v>
      </c>
      <c r="AG49" s="244">
        <f t="shared" si="50"/>
        <v>416836.66666666674</v>
      </c>
    </row>
    <row r="50" spans="1:33">
      <c r="F50" s="241">
        <v>6</v>
      </c>
      <c r="G50" s="41">
        <f>G49-'PLAN 2018'!G73</f>
        <v>0</v>
      </c>
      <c r="H50" s="41">
        <f>H49-'PLAN 2018'!H73</f>
        <v>0</v>
      </c>
      <c r="I50" s="41">
        <f>I49-'PLAN 2018'!I73</f>
        <v>0</v>
      </c>
      <c r="J50" s="41">
        <f>J49-'PLAN 2018'!J73</f>
        <v>0</v>
      </c>
      <c r="K50" s="41">
        <f>K49-'PLAN 2018'!K73</f>
        <v>0</v>
      </c>
      <c r="L50" s="41">
        <f>L49-'PLAN 2018'!L73</f>
        <v>0</v>
      </c>
      <c r="M50" s="41">
        <f>M49-'PLAN 2018'!M73</f>
        <v>0</v>
      </c>
      <c r="N50" s="41">
        <f>N49-'PLAN 2018'!N73</f>
        <v>0</v>
      </c>
      <c r="O50" s="41">
        <f>O49-'PLAN 2018'!O73</f>
        <v>0</v>
      </c>
      <c r="P50" s="41">
        <f>P49-'PLAN 2018'!P73</f>
        <v>0</v>
      </c>
      <c r="Q50" s="41">
        <f>Q49-'PLAN 2018'!Q73</f>
        <v>0</v>
      </c>
      <c r="R50" s="41">
        <f>R49-'PLAN 2018'!R73</f>
        <v>0</v>
      </c>
    </row>
    <row r="51" spans="1:33">
      <c r="G51" s="1">
        <v>5</v>
      </c>
      <c r="H51" s="1">
        <v>6</v>
      </c>
      <c r="I51" s="1">
        <v>7</v>
      </c>
      <c r="J51" s="1">
        <v>8</v>
      </c>
      <c r="K51" s="1">
        <v>9</v>
      </c>
      <c r="L51" s="1">
        <v>10</v>
      </c>
      <c r="M51" s="1">
        <v>11</v>
      </c>
      <c r="N51" s="1">
        <v>12</v>
      </c>
      <c r="O51" s="1">
        <v>13</v>
      </c>
      <c r="P51" s="1">
        <v>14</v>
      </c>
      <c r="Q51" s="1">
        <v>15</v>
      </c>
      <c r="R51" s="1">
        <v>16</v>
      </c>
      <c r="S51" s="1">
        <v>17</v>
      </c>
      <c r="T51" s="1">
        <v>18</v>
      </c>
      <c r="U51" s="1">
        <v>19</v>
      </c>
      <c r="V51" s="1">
        <v>20</v>
      </c>
      <c r="W51" s="1">
        <v>21</v>
      </c>
      <c r="X51" s="1">
        <v>22</v>
      </c>
      <c r="Y51" s="1">
        <v>23</v>
      </c>
      <c r="Z51" s="1">
        <v>24</v>
      </c>
      <c r="AA51" s="1">
        <v>25</v>
      </c>
      <c r="AB51" s="1">
        <v>26</v>
      </c>
      <c r="AC51" s="1">
        <v>27</v>
      </c>
      <c r="AD51" s="1">
        <v>28</v>
      </c>
      <c r="AE51" s="1">
        <v>29</v>
      </c>
      <c r="AF51" s="1">
        <v>30</v>
      </c>
      <c r="AG51" s="1">
        <v>31</v>
      </c>
    </row>
    <row r="52" spans="1:33">
      <c r="B52" s="242" t="s">
        <v>563</v>
      </c>
      <c r="C52" s="242" t="s">
        <v>216</v>
      </c>
      <c r="D52" s="253"/>
      <c r="G52" s="114">
        <v>42736</v>
      </c>
      <c r="H52" s="114">
        <v>42767</v>
      </c>
      <c r="I52" s="114">
        <v>42795</v>
      </c>
      <c r="J52" s="114">
        <v>42826</v>
      </c>
      <c r="K52" s="114">
        <v>42856</v>
      </c>
      <c r="L52" s="114">
        <v>42887</v>
      </c>
      <c r="M52" s="114">
        <v>42917</v>
      </c>
      <c r="N52" s="114">
        <v>42948</v>
      </c>
      <c r="O52" s="114">
        <v>42979</v>
      </c>
      <c r="P52" s="91">
        <v>43009</v>
      </c>
      <c r="Q52" s="91">
        <v>43040</v>
      </c>
      <c r="R52" s="91">
        <v>43070</v>
      </c>
      <c r="S52" s="112">
        <v>2017</v>
      </c>
      <c r="U52" s="89">
        <v>43101</v>
      </c>
      <c r="V52" s="89">
        <v>43132</v>
      </c>
      <c r="W52" s="89">
        <v>43160</v>
      </c>
      <c r="X52" s="89">
        <v>43191</v>
      </c>
      <c r="Y52" s="89">
        <v>43221</v>
      </c>
      <c r="Z52" s="89">
        <v>43252</v>
      </c>
      <c r="AA52" s="89">
        <v>43282</v>
      </c>
      <c r="AB52" s="89">
        <v>43313</v>
      </c>
      <c r="AC52" s="89">
        <v>43344</v>
      </c>
      <c r="AD52" s="89">
        <v>43374</v>
      </c>
      <c r="AE52" s="89">
        <v>43405</v>
      </c>
      <c r="AF52" s="89">
        <v>43435</v>
      </c>
      <c r="AG52" s="113">
        <v>2018</v>
      </c>
    </row>
    <row r="53" spans="1:33">
      <c r="C53" s="248">
        <v>1100</v>
      </c>
      <c r="D53" s="246" t="s">
        <v>149</v>
      </c>
      <c r="E53" s="247"/>
      <c r="F53" s="249"/>
      <c r="G53" s="41">
        <f t="shared" ref="G53:S64" si="51">SUMIF($C$15:$C$49,$C53,G$15:G$49)</f>
        <v>6101.333333333333</v>
      </c>
      <c r="H53" s="41">
        <f t="shared" si="51"/>
        <v>6101.333333333333</v>
      </c>
      <c r="I53" s="41">
        <f t="shared" si="51"/>
        <v>6101.333333333333</v>
      </c>
      <c r="J53" s="41">
        <f t="shared" si="51"/>
        <v>6101.333333333333</v>
      </c>
      <c r="K53" s="41">
        <f t="shared" si="51"/>
        <v>6101.333333333333</v>
      </c>
      <c r="L53" s="41">
        <f t="shared" si="51"/>
        <v>6101.333333333333</v>
      </c>
      <c r="M53" s="41">
        <f t="shared" si="51"/>
        <v>6101.333333333333</v>
      </c>
      <c r="N53" s="41">
        <f t="shared" si="51"/>
        <v>6101.333333333333</v>
      </c>
      <c r="O53" s="41">
        <f t="shared" si="51"/>
        <v>6101.333333333333</v>
      </c>
      <c r="P53" s="41">
        <f t="shared" si="51"/>
        <v>6101.333333333333</v>
      </c>
      <c r="Q53" s="41">
        <f t="shared" si="51"/>
        <v>6101.333333333333</v>
      </c>
      <c r="R53" s="41">
        <f t="shared" si="51"/>
        <v>6101.333333333333</v>
      </c>
      <c r="S53" s="41">
        <f t="shared" si="51"/>
        <v>73216</v>
      </c>
      <c r="U53" s="41">
        <f t="shared" ref="U53:AG64" si="52">SUMIF($C$15:$C$49,$C53,U$15:U$49)</f>
        <v>6101.333333333333</v>
      </c>
      <c r="V53" s="41">
        <f t="shared" si="52"/>
        <v>6101.333333333333</v>
      </c>
      <c r="W53" s="41">
        <f t="shared" si="52"/>
        <v>6101.333333333333</v>
      </c>
      <c r="X53" s="41">
        <f t="shared" si="52"/>
        <v>6101.333333333333</v>
      </c>
      <c r="Y53" s="41">
        <f t="shared" si="52"/>
        <v>6101.333333333333</v>
      </c>
      <c r="Z53" s="41">
        <f t="shared" si="52"/>
        <v>6101.333333333333</v>
      </c>
      <c r="AA53" s="41">
        <f t="shared" si="52"/>
        <v>6101.333333333333</v>
      </c>
      <c r="AB53" s="41">
        <f t="shared" si="52"/>
        <v>6101.333333333333</v>
      </c>
      <c r="AC53" s="41">
        <f t="shared" si="52"/>
        <v>6101.333333333333</v>
      </c>
      <c r="AD53" s="41">
        <f t="shared" si="52"/>
        <v>6101.333333333333</v>
      </c>
      <c r="AE53" s="41">
        <f t="shared" si="52"/>
        <v>6101.333333333333</v>
      </c>
      <c r="AF53" s="41">
        <f t="shared" si="52"/>
        <v>6101.333333333333</v>
      </c>
      <c r="AG53" s="41">
        <f t="shared" si="52"/>
        <v>73216</v>
      </c>
    </row>
    <row r="54" spans="1:33">
      <c r="C54" s="248">
        <v>1200</v>
      </c>
      <c r="D54" s="246" t="s">
        <v>75</v>
      </c>
      <c r="E54" s="247"/>
      <c r="F54" s="249"/>
      <c r="G54" s="41">
        <f t="shared" si="51"/>
        <v>0</v>
      </c>
      <c r="H54" s="41">
        <f t="shared" si="51"/>
        <v>0</v>
      </c>
      <c r="I54" s="41">
        <f t="shared" si="51"/>
        <v>0</v>
      </c>
      <c r="J54" s="41">
        <f t="shared" si="51"/>
        <v>0</v>
      </c>
      <c r="K54" s="41">
        <f t="shared" si="51"/>
        <v>0</v>
      </c>
      <c r="L54" s="41">
        <f t="shared" si="51"/>
        <v>0</v>
      </c>
      <c r="M54" s="41">
        <f t="shared" si="51"/>
        <v>0</v>
      </c>
      <c r="N54" s="41">
        <f t="shared" si="51"/>
        <v>0</v>
      </c>
      <c r="O54" s="41">
        <f t="shared" si="51"/>
        <v>0</v>
      </c>
      <c r="P54" s="41">
        <f t="shared" si="51"/>
        <v>0</v>
      </c>
      <c r="Q54" s="41">
        <f t="shared" si="51"/>
        <v>0</v>
      </c>
      <c r="R54" s="41">
        <f t="shared" si="51"/>
        <v>0</v>
      </c>
      <c r="S54" s="41">
        <f t="shared" si="51"/>
        <v>0</v>
      </c>
      <c r="U54" s="41">
        <f t="shared" si="52"/>
        <v>0</v>
      </c>
      <c r="V54" s="41">
        <f t="shared" si="52"/>
        <v>0</v>
      </c>
      <c r="W54" s="41">
        <f t="shared" si="52"/>
        <v>0</v>
      </c>
      <c r="X54" s="41">
        <f t="shared" si="52"/>
        <v>0</v>
      </c>
      <c r="Y54" s="41">
        <f t="shared" si="52"/>
        <v>0</v>
      </c>
      <c r="Z54" s="41">
        <f t="shared" si="52"/>
        <v>0</v>
      </c>
      <c r="AA54" s="41">
        <f t="shared" si="52"/>
        <v>0</v>
      </c>
      <c r="AB54" s="41">
        <f t="shared" si="52"/>
        <v>0</v>
      </c>
      <c r="AC54" s="41">
        <f t="shared" si="52"/>
        <v>0</v>
      </c>
      <c r="AD54" s="41">
        <f t="shared" si="52"/>
        <v>0</v>
      </c>
      <c r="AE54" s="41">
        <f t="shared" si="52"/>
        <v>0</v>
      </c>
      <c r="AF54" s="41">
        <f t="shared" si="52"/>
        <v>0</v>
      </c>
      <c r="AG54" s="41">
        <f t="shared" si="52"/>
        <v>0</v>
      </c>
    </row>
    <row r="55" spans="1:33">
      <c r="C55" s="248">
        <v>2200</v>
      </c>
      <c r="D55" s="246" t="s">
        <v>457</v>
      </c>
      <c r="E55" s="247"/>
      <c r="F55" s="249"/>
      <c r="G55" s="41">
        <f t="shared" si="51"/>
        <v>7080.7222222222217</v>
      </c>
      <c r="H55" s="41">
        <f t="shared" si="51"/>
        <v>11953.888888888889</v>
      </c>
      <c r="I55" s="41">
        <f t="shared" si="51"/>
        <v>11953.888888888889</v>
      </c>
      <c r="J55" s="41">
        <f t="shared" si="51"/>
        <v>11953.888888888889</v>
      </c>
      <c r="K55" s="41">
        <f t="shared" si="51"/>
        <v>12330.555555555555</v>
      </c>
      <c r="L55" s="41">
        <f t="shared" si="51"/>
        <v>12330.555555555555</v>
      </c>
      <c r="M55" s="41">
        <f t="shared" si="51"/>
        <v>12330.555555555555</v>
      </c>
      <c r="N55" s="41">
        <f t="shared" si="51"/>
        <v>12330.555555555555</v>
      </c>
      <c r="O55" s="41">
        <f t="shared" si="51"/>
        <v>12330.555555555555</v>
      </c>
      <c r="P55" s="41">
        <f t="shared" si="51"/>
        <v>12330.555555555555</v>
      </c>
      <c r="Q55" s="41">
        <f t="shared" si="51"/>
        <v>12330.555555555555</v>
      </c>
      <c r="R55" s="41">
        <f t="shared" si="51"/>
        <v>12326.055555555555</v>
      </c>
      <c r="S55" s="41">
        <f t="shared" si="51"/>
        <v>141582.33333333331</v>
      </c>
      <c r="U55" s="41">
        <f t="shared" si="52"/>
        <v>12326.055555555555</v>
      </c>
      <c r="V55" s="41">
        <f t="shared" si="52"/>
        <v>12326.055555555555</v>
      </c>
      <c r="W55" s="41">
        <f t="shared" si="52"/>
        <v>12326.055555555555</v>
      </c>
      <c r="X55" s="41">
        <f t="shared" si="52"/>
        <v>12326.055555555555</v>
      </c>
      <c r="Y55" s="41">
        <f t="shared" si="52"/>
        <v>12326.055555555555</v>
      </c>
      <c r="Z55" s="41">
        <f t="shared" si="52"/>
        <v>22048.277777777777</v>
      </c>
      <c r="AA55" s="41">
        <f t="shared" si="52"/>
        <v>22048.277777777777</v>
      </c>
      <c r="AB55" s="41">
        <f t="shared" si="52"/>
        <v>22048.277777777777</v>
      </c>
      <c r="AC55" s="41">
        <f t="shared" si="52"/>
        <v>22048.277777777777</v>
      </c>
      <c r="AD55" s="41">
        <f t="shared" si="52"/>
        <v>22048.277777777777</v>
      </c>
      <c r="AE55" s="41">
        <f t="shared" si="52"/>
        <v>22048.277777777777</v>
      </c>
      <c r="AF55" s="41">
        <f t="shared" si="52"/>
        <v>22048.277777777777</v>
      </c>
      <c r="AG55" s="41">
        <f t="shared" si="52"/>
        <v>215968.22222222222</v>
      </c>
    </row>
    <row r="56" spans="1:33">
      <c r="C56" s="248">
        <v>3100</v>
      </c>
      <c r="D56" s="246" t="s">
        <v>63</v>
      </c>
      <c r="E56" s="247"/>
      <c r="F56" s="249"/>
      <c r="G56" s="41">
        <f t="shared" si="51"/>
        <v>0</v>
      </c>
      <c r="H56" s="41">
        <f t="shared" si="51"/>
        <v>0</v>
      </c>
      <c r="I56" s="41">
        <f t="shared" si="51"/>
        <v>0</v>
      </c>
      <c r="J56" s="41">
        <f t="shared" si="51"/>
        <v>0</v>
      </c>
      <c r="K56" s="41">
        <f t="shared" si="51"/>
        <v>0</v>
      </c>
      <c r="L56" s="41">
        <f t="shared" si="51"/>
        <v>0</v>
      </c>
      <c r="M56" s="41">
        <f t="shared" si="51"/>
        <v>0</v>
      </c>
      <c r="N56" s="41">
        <f t="shared" si="51"/>
        <v>0</v>
      </c>
      <c r="O56" s="41">
        <f t="shared" si="51"/>
        <v>0</v>
      </c>
      <c r="P56" s="41">
        <f t="shared" si="51"/>
        <v>0</v>
      </c>
      <c r="Q56" s="41">
        <f t="shared" si="51"/>
        <v>0</v>
      </c>
      <c r="R56" s="41">
        <f t="shared" si="51"/>
        <v>0</v>
      </c>
      <c r="S56" s="41">
        <f t="shared" si="51"/>
        <v>0</v>
      </c>
      <c r="U56" s="41">
        <f t="shared" si="52"/>
        <v>0</v>
      </c>
      <c r="V56" s="41">
        <f t="shared" si="52"/>
        <v>0</v>
      </c>
      <c r="W56" s="41">
        <f t="shared" si="52"/>
        <v>20000</v>
      </c>
      <c r="X56" s="41">
        <f t="shared" si="52"/>
        <v>20000</v>
      </c>
      <c r="Y56" s="41">
        <f t="shared" si="52"/>
        <v>20000</v>
      </c>
      <c r="Z56" s="41">
        <f t="shared" si="52"/>
        <v>20000</v>
      </c>
      <c r="AA56" s="41">
        <f t="shared" si="52"/>
        <v>20000</v>
      </c>
      <c r="AB56" s="41">
        <f t="shared" si="52"/>
        <v>20000</v>
      </c>
      <c r="AC56" s="41">
        <f t="shared" si="52"/>
        <v>20000</v>
      </c>
      <c r="AD56" s="41">
        <f t="shared" si="52"/>
        <v>20000</v>
      </c>
      <c r="AE56" s="41">
        <f t="shared" si="52"/>
        <v>20000</v>
      </c>
      <c r="AF56" s="41">
        <f t="shared" si="52"/>
        <v>20000</v>
      </c>
      <c r="AG56" s="41">
        <f t="shared" si="52"/>
        <v>200000</v>
      </c>
    </row>
    <row r="57" spans="1:33">
      <c r="C57" s="248">
        <v>4100</v>
      </c>
      <c r="D57" s="246" t="s">
        <v>54</v>
      </c>
      <c r="E57" s="247"/>
      <c r="F57" s="249"/>
      <c r="G57" s="41">
        <f t="shared" si="51"/>
        <v>0</v>
      </c>
      <c r="H57" s="41">
        <f t="shared" si="51"/>
        <v>0</v>
      </c>
      <c r="I57" s="41">
        <f t="shared" si="51"/>
        <v>0</v>
      </c>
      <c r="J57" s="41">
        <f t="shared" si="51"/>
        <v>0</v>
      </c>
      <c r="K57" s="41">
        <f t="shared" si="51"/>
        <v>0</v>
      </c>
      <c r="L57" s="41">
        <f t="shared" si="51"/>
        <v>0</v>
      </c>
      <c r="M57" s="41">
        <f t="shared" si="51"/>
        <v>0</v>
      </c>
      <c r="N57" s="41">
        <f t="shared" si="51"/>
        <v>0</v>
      </c>
      <c r="O57" s="41">
        <f t="shared" si="51"/>
        <v>0</v>
      </c>
      <c r="P57" s="41">
        <f t="shared" si="51"/>
        <v>0</v>
      </c>
      <c r="Q57" s="41">
        <f t="shared" si="51"/>
        <v>0</v>
      </c>
      <c r="R57" s="41">
        <f t="shared" si="51"/>
        <v>0</v>
      </c>
      <c r="S57" s="41">
        <f t="shared" si="51"/>
        <v>0</v>
      </c>
      <c r="U57" s="41">
        <f t="shared" si="52"/>
        <v>0</v>
      </c>
      <c r="V57" s="41">
        <f t="shared" si="52"/>
        <v>0</v>
      </c>
      <c r="W57" s="41">
        <f t="shared" si="52"/>
        <v>0</v>
      </c>
      <c r="X57" s="41">
        <f t="shared" si="52"/>
        <v>0</v>
      </c>
      <c r="Y57" s="41">
        <f t="shared" si="52"/>
        <v>0</v>
      </c>
      <c r="Z57" s="41">
        <f t="shared" si="52"/>
        <v>0</v>
      </c>
      <c r="AA57" s="41">
        <f t="shared" si="52"/>
        <v>0</v>
      </c>
      <c r="AB57" s="41">
        <f t="shared" si="52"/>
        <v>0</v>
      </c>
      <c r="AC57" s="41">
        <f t="shared" si="52"/>
        <v>0</v>
      </c>
      <c r="AD57" s="41">
        <f t="shared" si="52"/>
        <v>0</v>
      </c>
      <c r="AE57" s="41">
        <f t="shared" si="52"/>
        <v>0</v>
      </c>
      <c r="AF57" s="41">
        <f t="shared" si="52"/>
        <v>0</v>
      </c>
      <c r="AG57" s="41">
        <f t="shared" si="52"/>
        <v>0</v>
      </c>
    </row>
    <row r="58" spans="1:33">
      <c r="C58" s="248">
        <v>5100</v>
      </c>
      <c r="D58" s="246" t="s">
        <v>64</v>
      </c>
      <c r="E58" s="247"/>
      <c r="F58" s="249"/>
      <c r="G58" s="41">
        <f t="shared" si="51"/>
        <v>0</v>
      </c>
      <c r="H58" s="41">
        <f t="shared" si="51"/>
        <v>0</v>
      </c>
      <c r="I58" s="41">
        <f t="shared" si="51"/>
        <v>0</v>
      </c>
      <c r="J58" s="41">
        <f t="shared" si="51"/>
        <v>0</v>
      </c>
      <c r="K58" s="41">
        <f t="shared" si="51"/>
        <v>0</v>
      </c>
      <c r="L58" s="41">
        <f t="shared" si="51"/>
        <v>0</v>
      </c>
      <c r="M58" s="41">
        <f t="shared" si="51"/>
        <v>0</v>
      </c>
      <c r="N58" s="41">
        <f t="shared" si="51"/>
        <v>0</v>
      </c>
      <c r="O58" s="41">
        <f t="shared" si="51"/>
        <v>0</v>
      </c>
      <c r="P58" s="41">
        <f t="shared" si="51"/>
        <v>0</v>
      </c>
      <c r="Q58" s="41">
        <f t="shared" si="51"/>
        <v>0</v>
      </c>
      <c r="R58" s="41">
        <f t="shared" si="51"/>
        <v>0</v>
      </c>
      <c r="S58" s="41">
        <f t="shared" si="51"/>
        <v>0</v>
      </c>
      <c r="U58" s="41">
        <f t="shared" si="52"/>
        <v>0</v>
      </c>
      <c r="V58" s="41">
        <f t="shared" si="52"/>
        <v>0</v>
      </c>
      <c r="W58" s="41">
        <f t="shared" si="52"/>
        <v>0</v>
      </c>
      <c r="X58" s="41">
        <f t="shared" si="52"/>
        <v>0</v>
      </c>
      <c r="Y58" s="41">
        <f t="shared" si="52"/>
        <v>0</v>
      </c>
      <c r="Z58" s="41">
        <f t="shared" si="52"/>
        <v>0</v>
      </c>
      <c r="AA58" s="41">
        <f t="shared" si="52"/>
        <v>0</v>
      </c>
      <c r="AB58" s="41">
        <f t="shared" si="52"/>
        <v>0</v>
      </c>
      <c r="AC58" s="41">
        <f t="shared" si="52"/>
        <v>0</v>
      </c>
      <c r="AD58" s="41">
        <f t="shared" si="52"/>
        <v>0</v>
      </c>
      <c r="AE58" s="41">
        <f t="shared" si="52"/>
        <v>0</v>
      </c>
      <c r="AF58" s="41">
        <f t="shared" si="52"/>
        <v>0</v>
      </c>
      <c r="AG58" s="41">
        <f t="shared" si="52"/>
        <v>0</v>
      </c>
    </row>
    <row r="59" spans="1:33">
      <c r="C59" s="248">
        <v>6100</v>
      </c>
      <c r="D59" s="246" t="s">
        <v>65</v>
      </c>
      <c r="E59" s="247"/>
      <c r="F59" s="249"/>
      <c r="G59" s="41">
        <f t="shared" si="51"/>
        <v>1860.8333333333333</v>
      </c>
      <c r="H59" s="41">
        <f t="shared" si="51"/>
        <v>1860.8333333333333</v>
      </c>
      <c r="I59" s="41">
        <f t="shared" si="51"/>
        <v>1860.8333333333333</v>
      </c>
      <c r="J59" s="41">
        <f t="shared" si="51"/>
        <v>1860.8333333333333</v>
      </c>
      <c r="K59" s="41">
        <f t="shared" si="51"/>
        <v>1860.8333333333333</v>
      </c>
      <c r="L59" s="41">
        <f t="shared" si="51"/>
        <v>1860.8333333333333</v>
      </c>
      <c r="M59" s="41">
        <f t="shared" si="51"/>
        <v>1860.8333333333333</v>
      </c>
      <c r="N59" s="41">
        <f t="shared" si="51"/>
        <v>1860.8333333333333</v>
      </c>
      <c r="O59" s="41">
        <f t="shared" si="51"/>
        <v>1860.8333333333333</v>
      </c>
      <c r="P59" s="41">
        <f t="shared" si="51"/>
        <v>1860.8333333333333</v>
      </c>
      <c r="Q59" s="41">
        <f t="shared" si="51"/>
        <v>1860.8333333333333</v>
      </c>
      <c r="R59" s="41">
        <f t="shared" si="51"/>
        <v>13522.333333333332</v>
      </c>
      <c r="S59" s="41">
        <f t="shared" si="51"/>
        <v>33991.5</v>
      </c>
      <c r="U59" s="41">
        <f t="shared" si="52"/>
        <v>13522.333333333332</v>
      </c>
      <c r="V59" s="41">
        <f t="shared" si="52"/>
        <v>13522.333333333332</v>
      </c>
      <c r="W59" s="41">
        <f t="shared" si="52"/>
        <v>13522.333333333332</v>
      </c>
      <c r="X59" s="41">
        <f t="shared" si="52"/>
        <v>13522.333333333332</v>
      </c>
      <c r="Y59" s="41">
        <f t="shared" si="52"/>
        <v>13522.333333333332</v>
      </c>
      <c r="Z59" s="41">
        <f t="shared" si="52"/>
        <v>13522.333333333332</v>
      </c>
      <c r="AA59" s="41">
        <f t="shared" si="52"/>
        <v>13522.333333333332</v>
      </c>
      <c r="AB59" s="41">
        <f t="shared" si="52"/>
        <v>13522.333333333332</v>
      </c>
      <c r="AC59" s="41">
        <f t="shared" si="52"/>
        <v>16855.666666666668</v>
      </c>
      <c r="AD59" s="41">
        <f t="shared" si="52"/>
        <v>16855.666666666668</v>
      </c>
      <c r="AE59" s="41">
        <f t="shared" si="52"/>
        <v>16855.666666666668</v>
      </c>
      <c r="AF59" s="41">
        <f t="shared" si="52"/>
        <v>16855.666666666668</v>
      </c>
      <c r="AG59" s="41">
        <f t="shared" si="52"/>
        <v>175601.33333333337</v>
      </c>
    </row>
    <row r="60" spans="1:33">
      <c r="C60" s="248">
        <v>6800</v>
      </c>
      <c r="D60" s="246" t="s">
        <v>135</v>
      </c>
      <c r="E60" s="247"/>
      <c r="F60" s="249"/>
      <c r="G60" s="41">
        <f t="shared" si="51"/>
        <v>0</v>
      </c>
      <c r="H60" s="41">
        <f t="shared" si="51"/>
        <v>0</v>
      </c>
      <c r="I60" s="41">
        <f t="shared" si="51"/>
        <v>0</v>
      </c>
      <c r="J60" s="41">
        <f t="shared" si="51"/>
        <v>0</v>
      </c>
      <c r="K60" s="41">
        <f t="shared" si="51"/>
        <v>0</v>
      </c>
      <c r="L60" s="41">
        <f t="shared" si="51"/>
        <v>0</v>
      </c>
      <c r="M60" s="41">
        <f t="shared" si="51"/>
        <v>0</v>
      </c>
      <c r="N60" s="41">
        <f t="shared" si="51"/>
        <v>0</v>
      </c>
      <c r="O60" s="41">
        <f t="shared" si="51"/>
        <v>0</v>
      </c>
      <c r="P60" s="41">
        <f t="shared" si="51"/>
        <v>0</v>
      </c>
      <c r="Q60" s="41">
        <f t="shared" si="51"/>
        <v>0</v>
      </c>
      <c r="R60" s="41">
        <f t="shared" si="51"/>
        <v>0</v>
      </c>
      <c r="S60" s="41">
        <f t="shared" si="51"/>
        <v>0</v>
      </c>
      <c r="U60" s="41">
        <f t="shared" si="52"/>
        <v>0</v>
      </c>
      <c r="V60" s="41">
        <f t="shared" si="52"/>
        <v>0</v>
      </c>
      <c r="W60" s="41">
        <f t="shared" si="52"/>
        <v>0</v>
      </c>
      <c r="X60" s="41">
        <f t="shared" si="52"/>
        <v>0</v>
      </c>
      <c r="Y60" s="41">
        <f t="shared" si="52"/>
        <v>0</v>
      </c>
      <c r="Z60" s="41">
        <f t="shared" si="52"/>
        <v>0</v>
      </c>
      <c r="AA60" s="41">
        <f t="shared" si="52"/>
        <v>0</v>
      </c>
      <c r="AB60" s="41">
        <f t="shared" si="52"/>
        <v>0</v>
      </c>
      <c r="AC60" s="41">
        <f t="shared" si="52"/>
        <v>0</v>
      </c>
      <c r="AD60" s="41">
        <f t="shared" si="52"/>
        <v>0</v>
      </c>
      <c r="AE60" s="41">
        <f t="shared" si="52"/>
        <v>0</v>
      </c>
      <c r="AF60" s="41">
        <f t="shared" si="52"/>
        <v>0</v>
      </c>
      <c r="AG60" s="41">
        <f t="shared" si="52"/>
        <v>0</v>
      </c>
    </row>
    <row r="61" spans="1:33">
      <c r="C61" s="248">
        <v>7200</v>
      </c>
      <c r="D61" s="246" t="s">
        <v>209</v>
      </c>
      <c r="E61" s="247"/>
      <c r="F61" s="249"/>
      <c r="G61" s="41">
        <f t="shared" si="51"/>
        <v>0</v>
      </c>
      <c r="H61" s="41">
        <f t="shared" si="51"/>
        <v>0</v>
      </c>
      <c r="I61" s="41">
        <f t="shared" si="51"/>
        <v>0</v>
      </c>
      <c r="J61" s="41">
        <f t="shared" si="51"/>
        <v>0</v>
      </c>
      <c r="K61" s="41">
        <f t="shared" si="51"/>
        <v>0</v>
      </c>
      <c r="L61" s="41">
        <f t="shared" si="51"/>
        <v>0</v>
      </c>
      <c r="M61" s="41">
        <f t="shared" si="51"/>
        <v>0</v>
      </c>
      <c r="N61" s="41">
        <f t="shared" si="51"/>
        <v>0</v>
      </c>
      <c r="O61" s="41">
        <f t="shared" si="51"/>
        <v>0</v>
      </c>
      <c r="P61" s="41">
        <f t="shared" si="51"/>
        <v>0</v>
      </c>
      <c r="Q61" s="41">
        <f t="shared" si="51"/>
        <v>0</v>
      </c>
      <c r="R61" s="41">
        <f t="shared" si="51"/>
        <v>0</v>
      </c>
      <c r="S61" s="41">
        <f t="shared" si="51"/>
        <v>0</v>
      </c>
      <c r="U61" s="41">
        <f t="shared" si="52"/>
        <v>0</v>
      </c>
      <c r="V61" s="41">
        <f t="shared" si="52"/>
        <v>0</v>
      </c>
      <c r="W61" s="41">
        <f t="shared" si="52"/>
        <v>0</v>
      </c>
      <c r="X61" s="41">
        <f t="shared" si="52"/>
        <v>0</v>
      </c>
      <c r="Y61" s="41">
        <f t="shared" si="52"/>
        <v>0</v>
      </c>
      <c r="Z61" s="41">
        <f t="shared" si="52"/>
        <v>0</v>
      </c>
      <c r="AA61" s="41">
        <f t="shared" si="52"/>
        <v>0</v>
      </c>
      <c r="AB61" s="41">
        <f t="shared" si="52"/>
        <v>0</v>
      </c>
      <c r="AC61" s="41">
        <f t="shared" si="52"/>
        <v>0</v>
      </c>
      <c r="AD61" s="41">
        <f t="shared" si="52"/>
        <v>0</v>
      </c>
      <c r="AE61" s="41">
        <f t="shared" si="52"/>
        <v>0</v>
      </c>
      <c r="AF61" s="41">
        <f t="shared" si="52"/>
        <v>0</v>
      </c>
      <c r="AG61" s="41">
        <f t="shared" si="52"/>
        <v>0</v>
      </c>
    </row>
    <row r="62" spans="1:33">
      <c r="C62" s="248">
        <v>7300</v>
      </c>
      <c r="D62" s="246" t="s">
        <v>70</v>
      </c>
      <c r="E62" s="247"/>
      <c r="F62" s="249"/>
      <c r="G62" s="41">
        <f t="shared" si="51"/>
        <v>0</v>
      </c>
      <c r="H62" s="41">
        <f t="shared" si="51"/>
        <v>0</v>
      </c>
      <c r="I62" s="41">
        <f t="shared" si="51"/>
        <v>0</v>
      </c>
      <c r="J62" s="41">
        <f t="shared" si="51"/>
        <v>1917</v>
      </c>
      <c r="K62" s="41">
        <f t="shared" si="51"/>
        <v>1917</v>
      </c>
      <c r="L62" s="41">
        <f t="shared" si="51"/>
        <v>1917</v>
      </c>
      <c r="M62" s="41">
        <f t="shared" si="51"/>
        <v>1917</v>
      </c>
      <c r="N62" s="41">
        <f t="shared" si="51"/>
        <v>1917</v>
      </c>
      <c r="O62" s="41">
        <f t="shared" si="51"/>
        <v>1917</v>
      </c>
      <c r="P62" s="41">
        <f t="shared" si="51"/>
        <v>1917</v>
      </c>
      <c r="Q62" s="41">
        <f t="shared" si="51"/>
        <v>1917</v>
      </c>
      <c r="R62" s="41">
        <f t="shared" si="51"/>
        <v>1917</v>
      </c>
      <c r="S62" s="41">
        <f t="shared" si="51"/>
        <v>17253</v>
      </c>
      <c r="U62" s="41">
        <f t="shared" si="52"/>
        <v>1917</v>
      </c>
      <c r="V62" s="41">
        <f t="shared" si="52"/>
        <v>1917</v>
      </c>
      <c r="W62" s="41">
        <f t="shared" si="52"/>
        <v>1917</v>
      </c>
      <c r="X62" s="41">
        <f t="shared" si="52"/>
        <v>1917</v>
      </c>
      <c r="Y62" s="41">
        <f t="shared" si="52"/>
        <v>1917</v>
      </c>
      <c r="Z62" s="41">
        <f t="shared" si="52"/>
        <v>1917</v>
      </c>
      <c r="AA62" s="41">
        <f t="shared" si="52"/>
        <v>1917</v>
      </c>
      <c r="AB62" s="41">
        <f t="shared" si="52"/>
        <v>1917</v>
      </c>
      <c r="AC62" s="41">
        <f t="shared" si="52"/>
        <v>1917</v>
      </c>
      <c r="AD62" s="41">
        <f t="shared" si="52"/>
        <v>1917</v>
      </c>
      <c r="AE62" s="41">
        <f t="shared" si="52"/>
        <v>1917</v>
      </c>
      <c r="AF62" s="41">
        <f t="shared" si="52"/>
        <v>1917</v>
      </c>
      <c r="AG62" s="41">
        <f t="shared" si="52"/>
        <v>23004</v>
      </c>
    </row>
    <row r="63" spans="1:33">
      <c r="C63" s="248">
        <v>8200</v>
      </c>
      <c r="D63" s="246" t="s">
        <v>72</v>
      </c>
      <c r="E63" s="247"/>
      <c r="F63" s="249"/>
      <c r="G63" s="41">
        <f t="shared" si="51"/>
        <v>874.83333333333337</v>
      </c>
      <c r="H63" s="41">
        <f t="shared" si="51"/>
        <v>874.83333333333337</v>
      </c>
      <c r="I63" s="41">
        <f t="shared" si="51"/>
        <v>874.83333333333337</v>
      </c>
      <c r="J63" s="41">
        <f t="shared" si="51"/>
        <v>874.83333333333337</v>
      </c>
      <c r="K63" s="41">
        <f t="shared" si="51"/>
        <v>874.83333333333337</v>
      </c>
      <c r="L63" s="41">
        <f t="shared" si="51"/>
        <v>874.83333333333337</v>
      </c>
      <c r="M63" s="41">
        <f t="shared" si="51"/>
        <v>874.83333333333337</v>
      </c>
      <c r="N63" s="41">
        <f t="shared" si="51"/>
        <v>874.83333333333337</v>
      </c>
      <c r="O63" s="41">
        <f t="shared" si="51"/>
        <v>874.83333333333337</v>
      </c>
      <c r="P63" s="41">
        <f t="shared" si="51"/>
        <v>874.83333333333337</v>
      </c>
      <c r="Q63" s="41">
        <f t="shared" si="51"/>
        <v>874.83333333333337</v>
      </c>
      <c r="R63" s="41">
        <f t="shared" si="51"/>
        <v>869.66666666666674</v>
      </c>
      <c r="S63" s="41">
        <f t="shared" si="51"/>
        <v>10492.833333333334</v>
      </c>
      <c r="U63" s="41">
        <f t="shared" si="52"/>
        <v>869.66666666666674</v>
      </c>
      <c r="V63" s="41">
        <f t="shared" si="52"/>
        <v>869.66666666666674</v>
      </c>
      <c r="W63" s="41">
        <f t="shared" si="52"/>
        <v>869.66666666666674</v>
      </c>
      <c r="X63" s="41">
        <f t="shared" si="52"/>
        <v>869.66666666666674</v>
      </c>
      <c r="Y63" s="41">
        <f t="shared" si="52"/>
        <v>869.66666666666674</v>
      </c>
      <c r="Z63" s="41">
        <f t="shared" si="52"/>
        <v>869.66666666666674</v>
      </c>
      <c r="AA63" s="41">
        <f t="shared" si="52"/>
        <v>869.66666666666674</v>
      </c>
      <c r="AB63" s="41">
        <f t="shared" si="52"/>
        <v>869.66666666666674</v>
      </c>
      <c r="AC63" s="41">
        <f t="shared" si="52"/>
        <v>869.66666666666674</v>
      </c>
      <c r="AD63" s="41">
        <f t="shared" si="52"/>
        <v>869.66666666666674</v>
      </c>
      <c r="AE63" s="41">
        <f t="shared" si="52"/>
        <v>869.66666666666674</v>
      </c>
      <c r="AF63" s="41">
        <f t="shared" si="52"/>
        <v>869.66666666666674</v>
      </c>
      <c r="AG63" s="41">
        <f t="shared" si="52"/>
        <v>10436</v>
      </c>
    </row>
    <row r="64" spans="1:33">
      <c r="C64" s="248">
        <v>8300</v>
      </c>
      <c r="D64" s="246" t="s">
        <v>73</v>
      </c>
      <c r="E64" s="247"/>
      <c r="F64" s="249"/>
      <c r="G64" s="41">
        <f t="shared" si="51"/>
        <v>0</v>
      </c>
      <c r="H64" s="41">
        <f t="shared" si="51"/>
        <v>0</v>
      </c>
      <c r="I64" s="41">
        <f t="shared" si="51"/>
        <v>0</v>
      </c>
      <c r="J64" s="41">
        <f t="shared" si="51"/>
        <v>0</v>
      </c>
      <c r="K64" s="41">
        <f t="shared" si="51"/>
        <v>0</v>
      </c>
      <c r="L64" s="41">
        <f t="shared" si="51"/>
        <v>0</v>
      </c>
      <c r="M64" s="41">
        <f t="shared" si="51"/>
        <v>0</v>
      </c>
      <c r="N64" s="41">
        <f t="shared" si="51"/>
        <v>0</v>
      </c>
      <c r="O64" s="41">
        <f t="shared" si="51"/>
        <v>0</v>
      </c>
      <c r="P64" s="41">
        <f t="shared" si="51"/>
        <v>0</v>
      </c>
      <c r="Q64" s="41">
        <f t="shared" si="51"/>
        <v>0</v>
      </c>
      <c r="R64" s="41">
        <f t="shared" si="51"/>
        <v>0</v>
      </c>
      <c r="S64" s="41">
        <f t="shared" si="51"/>
        <v>0</v>
      </c>
      <c r="U64" s="41">
        <f t="shared" si="52"/>
        <v>0</v>
      </c>
      <c r="V64" s="41">
        <f t="shared" si="52"/>
        <v>0</v>
      </c>
      <c r="W64" s="41">
        <f t="shared" si="52"/>
        <v>0</v>
      </c>
      <c r="X64" s="41">
        <f t="shared" si="52"/>
        <v>0</v>
      </c>
      <c r="Y64" s="41">
        <f t="shared" si="52"/>
        <v>0</v>
      </c>
      <c r="Z64" s="41">
        <f t="shared" si="52"/>
        <v>0</v>
      </c>
      <c r="AA64" s="41">
        <f t="shared" si="52"/>
        <v>0</v>
      </c>
      <c r="AB64" s="41">
        <f t="shared" si="52"/>
        <v>0</v>
      </c>
      <c r="AC64" s="41">
        <f t="shared" si="52"/>
        <v>0</v>
      </c>
      <c r="AD64" s="41">
        <f t="shared" si="52"/>
        <v>0</v>
      </c>
      <c r="AE64" s="41">
        <f t="shared" si="52"/>
        <v>0</v>
      </c>
      <c r="AF64" s="41">
        <f t="shared" si="52"/>
        <v>0</v>
      </c>
      <c r="AG64" s="41">
        <f t="shared" si="52"/>
        <v>0</v>
      </c>
    </row>
    <row r="65" spans="1:33" s="127" customFormat="1">
      <c r="A65" s="242"/>
      <c r="B65" s="242"/>
      <c r="C65" s="242"/>
      <c r="D65" s="252" t="s">
        <v>178</v>
      </c>
      <c r="E65" s="259"/>
      <c r="F65" s="242"/>
      <c r="G65" s="244">
        <f t="shared" ref="G65:S65" si="53">SUM(G53:G64)</f>
        <v>15917.722222222223</v>
      </c>
      <c r="H65" s="244">
        <f t="shared" si="53"/>
        <v>20790.888888888887</v>
      </c>
      <c r="I65" s="244">
        <f t="shared" si="53"/>
        <v>20790.888888888887</v>
      </c>
      <c r="J65" s="244">
        <f t="shared" si="53"/>
        <v>22707.888888888887</v>
      </c>
      <c r="K65" s="244">
        <f t="shared" si="53"/>
        <v>23084.555555555551</v>
      </c>
      <c r="L65" s="244">
        <f t="shared" si="53"/>
        <v>23084.555555555551</v>
      </c>
      <c r="M65" s="244">
        <f t="shared" si="53"/>
        <v>23084.555555555551</v>
      </c>
      <c r="N65" s="244">
        <f t="shared" si="53"/>
        <v>23084.555555555551</v>
      </c>
      <c r="O65" s="244">
        <f t="shared" si="53"/>
        <v>23084.555555555551</v>
      </c>
      <c r="P65" s="244">
        <f t="shared" si="53"/>
        <v>23084.555555555551</v>
      </c>
      <c r="Q65" s="244">
        <f t="shared" si="53"/>
        <v>23084.555555555551</v>
      </c>
      <c r="R65" s="244">
        <f t="shared" si="53"/>
        <v>34736.388888888883</v>
      </c>
      <c r="S65" s="244">
        <f t="shared" si="53"/>
        <v>276535.66666666663</v>
      </c>
      <c r="U65" s="244">
        <f t="shared" ref="U65:AG65" si="54">SUM(U53:U64)</f>
        <v>34736.388888888883</v>
      </c>
      <c r="V65" s="244">
        <f t="shared" si="54"/>
        <v>34736.388888888883</v>
      </c>
      <c r="W65" s="244">
        <f t="shared" si="54"/>
        <v>54736.388888888883</v>
      </c>
      <c r="X65" s="244">
        <f t="shared" si="54"/>
        <v>54736.388888888883</v>
      </c>
      <c r="Y65" s="244">
        <f t="shared" si="54"/>
        <v>54736.388888888883</v>
      </c>
      <c r="Z65" s="244">
        <f t="shared" si="54"/>
        <v>64458.611111111102</v>
      </c>
      <c r="AA65" s="244">
        <f t="shared" si="54"/>
        <v>64458.611111111102</v>
      </c>
      <c r="AB65" s="244">
        <f t="shared" si="54"/>
        <v>64458.611111111102</v>
      </c>
      <c r="AC65" s="244">
        <f t="shared" si="54"/>
        <v>67791.944444444453</v>
      </c>
      <c r="AD65" s="244">
        <f t="shared" si="54"/>
        <v>67791.944444444453</v>
      </c>
      <c r="AE65" s="244">
        <f t="shared" si="54"/>
        <v>67791.944444444453</v>
      </c>
      <c r="AF65" s="244">
        <f t="shared" si="54"/>
        <v>67791.944444444453</v>
      </c>
      <c r="AG65" s="244">
        <f t="shared" si="54"/>
        <v>698225.55555555562</v>
      </c>
    </row>
    <row r="67" spans="1:33">
      <c r="C67" s="242" t="s">
        <v>230</v>
      </c>
      <c r="D67" s="253"/>
      <c r="G67" s="114">
        <v>42736</v>
      </c>
      <c r="H67" s="114">
        <v>42767</v>
      </c>
      <c r="I67" s="114">
        <v>42795</v>
      </c>
      <c r="J67" s="114">
        <v>42826</v>
      </c>
      <c r="K67" s="114">
        <v>42856</v>
      </c>
      <c r="L67" s="114">
        <v>42887</v>
      </c>
      <c r="M67" s="114">
        <v>42917</v>
      </c>
      <c r="N67" s="114">
        <v>42948</v>
      </c>
      <c r="O67" s="114">
        <v>42979</v>
      </c>
      <c r="P67" s="91">
        <v>43009</v>
      </c>
      <c r="Q67" s="91">
        <v>43040</v>
      </c>
      <c r="R67" s="91">
        <v>43070</v>
      </c>
      <c r="S67" s="112">
        <v>2017</v>
      </c>
      <c r="U67" s="89">
        <v>43101</v>
      </c>
      <c r="V67" s="89">
        <v>43132</v>
      </c>
      <c r="W67" s="89">
        <v>43160</v>
      </c>
      <c r="X67" s="89">
        <v>43191</v>
      </c>
      <c r="Y67" s="89">
        <v>43221</v>
      </c>
      <c r="Z67" s="89">
        <v>43252</v>
      </c>
      <c r="AA67" s="89">
        <v>43282</v>
      </c>
      <c r="AB67" s="89">
        <v>43313</v>
      </c>
      <c r="AC67" s="89">
        <v>43344</v>
      </c>
      <c r="AD67" s="89">
        <v>43374</v>
      </c>
      <c r="AE67" s="89">
        <v>43405</v>
      </c>
      <c r="AF67" s="89">
        <v>43435</v>
      </c>
      <c r="AG67" s="113">
        <v>2018</v>
      </c>
    </row>
    <row r="68" spans="1:33">
      <c r="C68" s="245">
        <v>3150</v>
      </c>
      <c r="D68" s="246" t="s">
        <v>103</v>
      </c>
      <c r="E68" s="247"/>
      <c r="F68" s="246"/>
      <c r="G68" s="41">
        <f t="shared" ref="G68:S68" si="55">SUM(G59:G64)</f>
        <v>2735.6666666666665</v>
      </c>
      <c r="H68" s="41">
        <f t="shared" si="55"/>
        <v>2735.6666666666665</v>
      </c>
      <c r="I68" s="41">
        <f t="shared" si="55"/>
        <v>2735.6666666666665</v>
      </c>
      <c r="J68" s="41">
        <f t="shared" si="55"/>
        <v>4652.6666666666661</v>
      </c>
      <c r="K68" s="41">
        <f t="shared" si="55"/>
        <v>4652.6666666666661</v>
      </c>
      <c r="L68" s="41">
        <f t="shared" si="55"/>
        <v>4652.6666666666661</v>
      </c>
      <c r="M68" s="41">
        <f t="shared" si="55"/>
        <v>4652.6666666666661</v>
      </c>
      <c r="N68" s="41">
        <f t="shared" si="55"/>
        <v>4652.6666666666661</v>
      </c>
      <c r="O68" s="41">
        <f t="shared" si="55"/>
        <v>4652.6666666666661</v>
      </c>
      <c r="P68" s="41">
        <f t="shared" si="55"/>
        <v>4652.6666666666661</v>
      </c>
      <c r="Q68" s="41">
        <f t="shared" si="55"/>
        <v>4652.6666666666661</v>
      </c>
      <c r="R68" s="41">
        <f t="shared" si="55"/>
        <v>16308.999999999998</v>
      </c>
      <c r="S68" s="41">
        <f t="shared" si="55"/>
        <v>61737.333333333336</v>
      </c>
      <c r="U68" s="41">
        <f t="shared" ref="U68:AG68" si="56">SUM(U59:U64)</f>
        <v>16308.999999999998</v>
      </c>
      <c r="V68" s="41">
        <f t="shared" si="56"/>
        <v>16308.999999999998</v>
      </c>
      <c r="W68" s="41">
        <f t="shared" si="56"/>
        <v>16308.999999999998</v>
      </c>
      <c r="X68" s="41">
        <f t="shared" si="56"/>
        <v>16308.999999999998</v>
      </c>
      <c r="Y68" s="41">
        <f t="shared" si="56"/>
        <v>16308.999999999998</v>
      </c>
      <c r="Z68" s="41">
        <f t="shared" si="56"/>
        <v>16308.999999999998</v>
      </c>
      <c r="AA68" s="41">
        <f t="shared" si="56"/>
        <v>16308.999999999998</v>
      </c>
      <c r="AB68" s="41">
        <f t="shared" si="56"/>
        <v>16308.999999999998</v>
      </c>
      <c r="AC68" s="41">
        <f t="shared" si="56"/>
        <v>19642.333333333336</v>
      </c>
      <c r="AD68" s="41">
        <f t="shared" si="56"/>
        <v>19642.333333333336</v>
      </c>
      <c r="AE68" s="41">
        <f t="shared" si="56"/>
        <v>19642.333333333336</v>
      </c>
      <c r="AF68" s="41">
        <f t="shared" si="56"/>
        <v>19642.333333333336</v>
      </c>
      <c r="AG68" s="41">
        <f t="shared" si="56"/>
        <v>209041.33333333337</v>
      </c>
    </row>
    <row r="69" spans="1:33">
      <c r="C69" s="245">
        <v>4570</v>
      </c>
      <c r="D69" s="246" t="s">
        <v>111</v>
      </c>
      <c r="E69" s="247"/>
      <c r="F69" s="246"/>
      <c r="G69" s="41">
        <f>SUM(G55:G55)</f>
        <v>7080.7222222222217</v>
      </c>
      <c r="H69" s="41">
        <f t="shared" ref="H69:R69" si="57">SUM(H55:H55)</f>
        <v>11953.888888888889</v>
      </c>
      <c r="I69" s="41">
        <f t="shared" si="57"/>
        <v>11953.888888888889</v>
      </c>
      <c r="J69" s="41">
        <f t="shared" si="57"/>
        <v>11953.888888888889</v>
      </c>
      <c r="K69" s="41">
        <f t="shared" si="57"/>
        <v>12330.555555555555</v>
      </c>
      <c r="L69" s="41">
        <f t="shared" si="57"/>
        <v>12330.555555555555</v>
      </c>
      <c r="M69" s="41">
        <f t="shared" si="57"/>
        <v>12330.555555555555</v>
      </c>
      <c r="N69" s="41">
        <f t="shared" si="57"/>
        <v>12330.555555555555</v>
      </c>
      <c r="O69" s="41">
        <f t="shared" si="57"/>
        <v>12330.555555555555</v>
      </c>
      <c r="P69" s="41">
        <f t="shared" si="57"/>
        <v>12330.555555555555</v>
      </c>
      <c r="Q69" s="41">
        <f t="shared" si="57"/>
        <v>12330.555555555555</v>
      </c>
      <c r="R69" s="41">
        <f t="shared" si="57"/>
        <v>12326.055555555555</v>
      </c>
      <c r="S69" s="41">
        <f>SUM(S55:S55)</f>
        <v>141582.33333333331</v>
      </c>
      <c r="U69" s="41">
        <f t="shared" ref="U69:AG69" si="58">SUM(U55:U55)</f>
        <v>12326.055555555555</v>
      </c>
      <c r="V69" s="41">
        <f t="shared" si="58"/>
        <v>12326.055555555555</v>
      </c>
      <c r="W69" s="41">
        <f t="shared" si="58"/>
        <v>12326.055555555555</v>
      </c>
      <c r="X69" s="41">
        <f t="shared" si="58"/>
        <v>12326.055555555555</v>
      </c>
      <c r="Y69" s="41">
        <f t="shared" si="58"/>
        <v>12326.055555555555</v>
      </c>
      <c r="Z69" s="41">
        <f t="shared" si="58"/>
        <v>22048.277777777777</v>
      </c>
      <c r="AA69" s="41">
        <f t="shared" si="58"/>
        <v>22048.277777777777</v>
      </c>
      <c r="AB69" s="41">
        <f t="shared" si="58"/>
        <v>22048.277777777777</v>
      </c>
      <c r="AC69" s="41">
        <f t="shared" si="58"/>
        <v>22048.277777777777</v>
      </c>
      <c r="AD69" s="41">
        <f t="shared" si="58"/>
        <v>22048.277777777777</v>
      </c>
      <c r="AE69" s="41">
        <f t="shared" si="58"/>
        <v>22048.277777777777</v>
      </c>
      <c r="AF69" s="41">
        <f t="shared" si="58"/>
        <v>22048.277777777777</v>
      </c>
      <c r="AG69" s="41">
        <f t="shared" si="58"/>
        <v>215968.22222222222</v>
      </c>
    </row>
    <row r="70" spans="1:33">
      <c r="C70" s="245">
        <v>5600</v>
      </c>
      <c r="D70" s="246" t="s">
        <v>119</v>
      </c>
      <c r="E70" s="247"/>
      <c r="F70" s="246"/>
      <c r="G70" s="41">
        <f t="shared" ref="G70:S70" si="59">SUM(G53:G54,G56:G58)</f>
        <v>6101.333333333333</v>
      </c>
      <c r="H70" s="41">
        <f t="shared" si="59"/>
        <v>6101.333333333333</v>
      </c>
      <c r="I70" s="41">
        <f t="shared" si="59"/>
        <v>6101.333333333333</v>
      </c>
      <c r="J70" s="41">
        <f t="shared" si="59"/>
        <v>6101.333333333333</v>
      </c>
      <c r="K70" s="41">
        <f t="shared" si="59"/>
        <v>6101.333333333333</v>
      </c>
      <c r="L70" s="41">
        <f t="shared" si="59"/>
        <v>6101.333333333333</v>
      </c>
      <c r="M70" s="41">
        <f t="shared" si="59"/>
        <v>6101.333333333333</v>
      </c>
      <c r="N70" s="41">
        <f t="shared" si="59"/>
        <v>6101.333333333333</v>
      </c>
      <c r="O70" s="41">
        <f t="shared" si="59"/>
        <v>6101.333333333333</v>
      </c>
      <c r="P70" s="41">
        <f t="shared" si="59"/>
        <v>6101.333333333333</v>
      </c>
      <c r="Q70" s="41">
        <f t="shared" si="59"/>
        <v>6101.333333333333</v>
      </c>
      <c r="R70" s="41">
        <f t="shared" si="59"/>
        <v>6101.333333333333</v>
      </c>
      <c r="S70" s="41">
        <f t="shared" si="59"/>
        <v>73216</v>
      </c>
      <c r="U70" s="41">
        <f t="shared" ref="U70:AG70" si="60">SUM(U53:U54,U56:U58)</f>
        <v>6101.333333333333</v>
      </c>
      <c r="V70" s="41">
        <f t="shared" si="60"/>
        <v>6101.333333333333</v>
      </c>
      <c r="W70" s="41">
        <f t="shared" si="60"/>
        <v>26101.333333333332</v>
      </c>
      <c r="X70" s="41">
        <f t="shared" si="60"/>
        <v>26101.333333333332</v>
      </c>
      <c r="Y70" s="41">
        <f t="shared" si="60"/>
        <v>26101.333333333332</v>
      </c>
      <c r="Z70" s="41">
        <f t="shared" si="60"/>
        <v>26101.333333333332</v>
      </c>
      <c r="AA70" s="41">
        <f t="shared" si="60"/>
        <v>26101.333333333332</v>
      </c>
      <c r="AB70" s="41">
        <f t="shared" si="60"/>
        <v>26101.333333333332</v>
      </c>
      <c r="AC70" s="41">
        <f t="shared" si="60"/>
        <v>26101.333333333332</v>
      </c>
      <c r="AD70" s="41">
        <f t="shared" si="60"/>
        <v>26101.333333333332</v>
      </c>
      <c r="AE70" s="41">
        <f t="shared" si="60"/>
        <v>26101.333333333332</v>
      </c>
      <c r="AF70" s="41">
        <f t="shared" si="60"/>
        <v>26101.333333333332</v>
      </c>
      <c r="AG70" s="41">
        <f t="shared" si="60"/>
        <v>273216</v>
      </c>
    </row>
    <row r="71" spans="1:33" s="127" customFormat="1">
      <c r="A71" s="242"/>
      <c r="B71" s="242"/>
      <c r="C71" s="242"/>
      <c r="D71" s="252" t="s">
        <v>178</v>
      </c>
      <c r="E71" s="259"/>
      <c r="F71" s="242"/>
      <c r="G71" s="244">
        <f>SUM(G68:G70)</f>
        <v>15917.722222222223</v>
      </c>
      <c r="H71" s="244">
        <f t="shared" ref="H71:S71" si="61">SUM(H68:H70)</f>
        <v>20790.888888888887</v>
      </c>
      <c r="I71" s="244">
        <f t="shared" si="61"/>
        <v>20790.888888888887</v>
      </c>
      <c r="J71" s="244">
        <f t="shared" si="61"/>
        <v>22707.888888888887</v>
      </c>
      <c r="K71" s="244">
        <f t="shared" si="61"/>
        <v>23084.555555555551</v>
      </c>
      <c r="L71" s="244">
        <f t="shared" si="61"/>
        <v>23084.555555555551</v>
      </c>
      <c r="M71" s="244">
        <f t="shared" si="61"/>
        <v>23084.555555555551</v>
      </c>
      <c r="N71" s="244">
        <f t="shared" si="61"/>
        <v>23084.555555555551</v>
      </c>
      <c r="O71" s="244">
        <f t="shared" si="61"/>
        <v>23084.555555555551</v>
      </c>
      <c r="P71" s="244">
        <f t="shared" si="61"/>
        <v>23084.555555555551</v>
      </c>
      <c r="Q71" s="244">
        <f t="shared" si="61"/>
        <v>23084.555555555551</v>
      </c>
      <c r="R71" s="244">
        <f t="shared" si="61"/>
        <v>34736.388888888891</v>
      </c>
      <c r="S71" s="244">
        <f t="shared" si="61"/>
        <v>276535.66666666663</v>
      </c>
      <c r="U71" s="244">
        <f>SUM(U68:U70)</f>
        <v>34736.388888888891</v>
      </c>
      <c r="V71" s="244">
        <f t="shared" ref="V71" si="62">SUM(V68:V70)</f>
        <v>34736.388888888891</v>
      </c>
      <c r="W71" s="244">
        <f t="shared" ref="W71" si="63">SUM(W68:W70)</f>
        <v>54736.388888888891</v>
      </c>
      <c r="X71" s="244">
        <f t="shared" ref="X71" si="64">SUM(X68:X70)</f>
        <v>54736.388888888891</v>
      </c>
      <c r="Y71" s="244">
        <f t="shared" ref="Y71" si="65">SUM(Y68:Y70)</f>
        <v>54736.388888888891</v>
      </c>
      <c r="Z71" s="244">
        <f t="shared" ref="Z71" si="66">SUM(Z68:Z70)</f>
        <v>64458.611111111109</v>
      </c>
      <c r="AA71" s="244">
        <f t="shared" ref="AA71" si="67">SUM(AA68:AA70)</f>
        <v>64458.611111111109</v>
      </c>
      <c r="AB71" s="244">
        <f t="shared" ref="AB71" si="68">SUM(AB68:AB70)</f>
        <v>64458.611111111109</v>
      </c>
      <c r="AC71" s="244">
        <f t="shared" ref="AC71" si="69">SUM(AC68:AC70)</f>
        <v>67791.944444444438</v>
      </c>
      <c r="AD71" s="244">
        <f t="shared" ref="AD71" si="70">SUM(AD68:AD70)</f>
        <v>67791.944444444438</v>
      </c>
      <c r="AE71" s="244">
        <f t="shared" ref="AE71" si="71">SUM(AE68:AE70)</f>
        <v>67791.944444444438</v>
      </c>
      <c r="AF71" s="244">
        <f t="shared" ref="AF71" si="72">SUM(AF68:AF70)</f>
        <v>67791.944444444438</v>
      </c>
      <c r="AG71" s="244">
        <f t="shared" ref="AG71" si="73">SUM(AG68:AG70)</f>
        <v>698225.55555555562</v>
      </c>
    </row>
  </sheetData>
  <sortState ref="A5:AG38">
    <sortCondition ref="C5:C38"/>
  </sortState>
  <pageMargins left="0.94488188976377963" right="0.35433070866141736" top="0.98425196850393704" bottom="0.59055118110236227" header="0.51181102362204722" footer="0.51181102362204722"/>
  <pageSetup paperSize="9" scale="5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59999389629810485"/>
    <pageSetUpPr fitToPage="1"/>
  </sheetPr>
  <dimension ref="A1:ES51"/>
  <sheetViews>
    <sheetView showGridLines="0" zoomScale="110" zoomScaleNormal="110" zoomScalePageLayoutView="110" workbookViewId="0">
      <pane xSplit="7" ySplit="5" topLeftCell="J6" activePane="bottomRight" state="frozen"/>
      <selection activeCell="BM36" sqref="BM36"/>
      <selection pane="topRight" activeCell="BM36" sqref="BM36"/>
      <selection pane="bottomLeft" activeCell="BM36" sqref="BM36"/>
      <selection pane="bottomRight" activeCell="Q11" sqref="Q11"/>
    </sheetView>
  </sheetViews>
  <sheetFormatPr defaultColWidth="10.85546875" defaultRowHeight="15.75" outlineLevelRow="1" outlineLevelCol="1"/>
  <cols>
    <col min="1" max="2" width="13.140625" style="30" hidden="1" customWidth="1" outlineLevel="1"/>
    <col min="3" max="3" width="9.85546875" style="30" hidden="1" customWidth="1" outlineLevel="1"/>
    <col min="4" max="4" width="8.42578125" style="30" hidden="1" customWidth="1" outlineLevel="1"/>
    <col min="5" max="5" width="11.85546875" style="30" hidden="1" customWidth="1" outlineLevel="1"/>
    <col min="6" max="6" width="11.85546875" style="30" customWidth="1" collapsed="1"/>
    <col min="7" max="7" width="20.140625" style="31" customWidth="1"/>
    <col min="8" max="8" width="9.28515625" style="31" customWidth="1"/>
    <col min="9" max="9" width="17.85546875" style="228" bestFit="1" customWidth="1"/>
    <col min="10" max="10" width="5.28515625" style="31" bestFit="1" customWidth="1"/>
    <col min="11" max="11" width="7.85546875" style="31" customWidth="1"/>
    <col min="12" max="12" width="8.42578125" style="31" customWidth="1"/>
    <col min="13" max="13" width="29.28515625" style="361" bestFit="1" customWidth="1"/>
    <col min="14" max="14" width="9.28515625" style="34" customWidth="1" outlineLevel="1"/>
    <col min="15" max="15" width="8.140625" style="34" customWidth="1" outlineLevel="1"/>
    <col min="16" max="16" width="9.28515625" style="34" customWidth="1" outlineLevel="1"/>
    <col min="17" max="17" width="10.7109375" style="34" customWidth="1" outlineLevel="1"/>
    <col min="18" max="18" width="10.28515625" style="34" customWidth="1" outlineLevel="1"/>
    <col min="19" max="19" width="9.42578125" style="34" customWidth="1" outlineLevel="1"/>
    <col min="20" max="20" width="10.140625" style="34" customWidth="1" outlineLevel="1"/>
    <col min="21" max="21" width="10.28515625" style="30" customWidth="1" outlineLevel="1"/>
    <col min="22" max="22" width="9.28515625" style="34" customWidth="1" outlineLevel="1"/>
    <col min="23" max="23" width="9" style="32" customWidth="1" outlineLevel="1"/>
    <col min="24" max="34" width="10.140625" style="32" customWidth="1" outlineLevel="1"/>
    <col min="35" max="35" width="12" style="32" customWidth="1"/>
    <col min="36" max="36" width="2.28515625" style="30" customWidth="1" collapsed="1"/>
    <col min="37" max="37" width="13.28515625" style="32" hidden="1" customWidth="1" outlineLevel="1"/>
    <col min="38" max="48" width="10.140625" style="32" hidden="1" customWidth="1" outlineLevel="1"/>
    <col min="49" max="49" width="11.28515625" style="32" bestFit="1" customWidth="1" collapsed="1"/>
    <col min="50" max="50" width="2.28515625" style="30" customWidth="1" collapsed="1"/>
    <col min="51" max="62" width="10.140625" style="32" hidden="1" customWidth="1" outlineLevel="1"/>
    <col min="63" max="63" width="11.28515625" style="32" bestFit="1" customWidth="1" collapsed="1"/>
    <col min="64" max="64" width="2.28515625" style="30" customWidth="1" collapsed="1"/>
    <col min="65" max="65" width="13.28515625" style="32" hidden="1" customWidth="1" outlineLevel="1"/>
    <col min="66" max="76" width="10.140625" style="32" hidden="1" customWidth="1" outlineLevel="1"/>
    <col min="77" max="77" width="11.28515625" style="32" bestFit="1" customWidth="1" collapsed="1"/>
    <col min="78" max="78" width="2.28515625" style="30" customWidth="1" collapsed="1"/>
    <col min="79" max="79" width="13.28515625" style="32" hidden="1" customWidth="1" outlineLevel="1"/>
    <col min="80" max="90" width="10.140625" style="32" hidden="1" customWidth="1" outlineLevel="1"/>
    <col min="91" max="91" width="11.28515625" style="32" bestFit="1" customWidth="1" collapsed="1"/>
    <col min="92" max="92" width="2.28515625" style="30" customWidth="1" collapsed="1"/>
    <col min="93" max="93" width="13.28515625" style="32" hidden="1" customWidth="1" outlineLevel="1"/>
    <col min="94" max="104" width="10.140625" style="32" hidden="1" customWidth="1" outlineLevel="1"/>
    <col min="105" max="105" width="10.140625" style="32" customWidth="1" collapsed="1"/>
    <col min="106" max="106" width="2.28515625" style="30" customWidth="1" collapsed="1"/>
    <col min="107" max="107" width="13.28515625" style="32" customWidth="1" outlineLevel="1"/>
    <col min="108" max="118" width="10.140625" style="32" customWidth="1" outlineLevel="1"/>
    <col min="119" max="119" width="10.140625" style="32" customWidth="1"/>
    <col min="120" max="120" width="2.28515625" style="30" customWidth="1" collapsed="1"/>
    <col min="121" max="121" width="10" style="32" hidden="1" customWidth="1" outlineLevel="1"/>
    <col min="122" max="132" width="10.140625" style="32" hidden="1" customWidth="1" outlineLevel="1"/>
    <col min="133" max="133" width="12" style="32" customWidth="1" collapsed="1"/>
    <col min="134" max="134" width="2.28515625" style="30" customWidth="1" collapsed="1"/>
    <col min="135" max="135" width="10" style="32" hidden="1" customWidth="1" outlineLevel="1"/>
    <col min="136" max="146" width="10.140625" style="32" hidden="1" customWidth="1" outlineLevel="1"/>
    <col min="147" max="147" width="12" style="32" customWidth="1" collapsed="1"/>
    <col min="148" max="16384" width="10.85546875" style="30"/>
  </cols>
  <sheetData>
    <row r="1" spans="1:147" s="7" customFormat="1">
      <c r="A1" s="2"/>
      <c r="B1" s="2"/>
      <c r="C1" s="2"/>
      <c r="D1" s="2"/>
      <c r="E1" s="2"/>
      <c r="F1" s="130" t="s">
        <v>408</v>
      </c>
      <c r="H1" s="3"/>
      <c r="I1" s="130"/>
      <c r="J1" s="4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3"/>
      <c r="W1" s="5">
        <v>43101</v>
      </c>
      <c r="X1" s="5">
        <v>43132</v>
      </c>
      <c r="Y1" s="5">
        <v>43160</v>
      </c>
      <c r="Z1" s="5">
        <v>43191</v>
      </c>
      <c r="AA1" s="5">
        <v>43221</v>
      </c>
      <c r="AB1" s="5">
        <v>43252</v>
      </c>
      <c r="AC1" s="5">
        <v>43282</v>
      </c>
      <c r="AD1" s="5">
        <v>43313</v>
      </c>
      <c r="AE1" s="5">
        <v>43344</v>
      </c>
      <c r="AF1" s="5">
        <v>43374</v>
      </c>
      <c r="AG1" s="5">
        <v>43405</v>
      </c>
      <c r="AH1" s="5">
        <v>43435</v>
      </c>
      <c r="AI1" s="6">
        <v>2018</v>
      </c>
      <c r="AJ1" s="3"/>
      <c r="AK1" s="5">
        <v>43101</v>
      </c>
      <c r="AL1" s="5">
        <v>43132</v>
      </c>
      <c r="AM1" s="5">
        <v>43160</v>
      </c>
      <c r="AN1" s="5">
        <v>43191</v>
      </c>
      <c r="AO1" s="5">
        <v>43221</v>
      </c>
      <c r="AP1" s="5">
        <v>43252</v>
      </c>
      <c r="AQ1" s="5">
        <v>43282</v>
      </c>
      <c r="AR1" s="5">
        <v>43313</v>
      </c>
      <c r="AS1" s="5">
        <v>43344</v>
      </c>
      <c r="AT1" s="5">
        <v>43374</v>
      </c>
      <c r="AU1" s="5">
        <v>43405</v>
      </c>
      <c r="AV1" s="5">
        <v>43435</v>
      </c>
      <c r="AW1" s="6">
        <v>2018</v>
      </c>
      <c r="AX1" s="3"/>
      <c r="AY1" s="5">
        <v>43101</v>
      </c>
      <c r="AZ1" s="5">
        <v>43132</v>
      </c>
      <c r="BA1" s="5">
        <v>43160</v>
      </c>
      <c r="BB1" s="5">
        <v>43191</v>
      </c>
      <c r="BC1" s="5">
        <v>43221</v>
      </c>
      <c r="BD1" s="5">
        <v>43252</v>
      </c>
      <c r="BE1" s="5">
        <v>43282</v>
      </c>
      <c r="BF1" s="5">
        <v>43313</v>
      </c>
      <c r="BG1" s="5">
        <v>43344</v>
      </c>
      <c r="BH1" s="5">
        <v>43374</v>
      </c>
      <c r="BI1" s="5">
        <v>43405</v>
      </c>
      <c r="BJ1" s="5">
        <v>43435</v>
      </c>
      <c r="BK1" s="6">
        <v>2018</v>
      </c>
      <c r="BL1" s="3"/>
      <c r="BM1" s="5">
        <v>43101</v>
      </c>
      <c r="BN1" s="5">
        <v>43132</v>
      </c>
      <c r="BO1" s="5">
        <v>43160</v>
      </c>
      <c r="BP1" s="5">
        <v>43191</v>
      </c>
      <c r="BQ1" s="5">
        <v>43221</v>
      </c>
      <c r="BR1" s="5">
        <v>43252</v>
      </c>
      <c r="BS1" s="5">
        <v>43282</v>
      </c>
      <c r="BT1" s="5">
        <v>43313</v>
      </c>
      <c r="BU1" s="5">
        <v>43344</v>
      </c>
      <c r="BV1" s="5">
        <v>43374</v>
      </c>
      <c r="BW1" s="5">
        <v>43405</v>
      </c>
      <c r="BX1" s="5">
        <v>43435</v>
      </c>
      <c r="BY1" s="6">
        <v>2018</v>
      </c>
      <c r="BZ1" s="3"/>
      <c r="CA1" s="5">
        <v>43101</v>
      </c>
      <c r="CB1" s="5">
        <v>43132</v>
      </c>
      <c r="CC1" s="5">
        <v>43160</v>
      </c>
      <c r="CD1" s="5">
        <v>43191</v>
      </c>
      <c r="CE1" s="5">
        <v>43221</v>
      </c>
      <c r="CF1" s="5">
        <v>43252</v>
      </c>
      <c r="CG1" s="5">
        <v>43282</v>
      </c>
      <c r="CH1" s="5">
        <v>43313</v>
      </c>
      <c r="CI1" s="5">
        <v>43344</v>
      </c>
      <c r="CJ1" s="5">
        <v>43374</v>
      </c>
      <c r="CK1" s="5">
        <v>43405</v>
      </c>
      <c r="CL1" s="5">
        <v>43435</v>
      </c>
      <c r="CM1" s="6">
        <v>2018</v>
      </c>
      <c r="CN1" s="3"/>
      <c r="CO1" s="5">
        <v>43101</v>
      </c>
      <c r="CP1" s="5">
        <v>43132</v>
      </c>
      <c r="CQ1" s="5">
        <v>43160</v>
      </c>
      <c r="CR1" s="5">
        <v>43191</v>
      </c>
      <c r="CS1" s="5">
        <v>43221</v>
      </c>
      <c r="CT1" s="5">
        <v>43252</v>
      </c>
      <c r="CU1" s="5">
        <v>43282</v>
      </c>
      <c r="CV1" s="5">
        <v>43313</v>
      </c>
      <c r="CW1" s="5">
        <v>43344</v>
      </c>
      <c r="CX1" s="5">
        <v>43374</v>
      </c>
      <c r="CY1" s="5">
        <v>43405</v>
      </c>
      <c r="CZ1" s="5">
        <v>43435</v>
      </c>
      <c r="DA1" s="6">
        <v>2018</v>
      </c>
      <c r="DB1" s="3"/>
      <c r="DC1" s="5">
        <v>43101</v>
      </c>
      <c r="DD1" s="5">
        <v>43132</v>
      </c>
      <c r="DE1" s="5">
        <v>43160</v>
      </c>
      <c r="DF1" s="5">
        <v>43191</v>
      </c>
      <c r="DG1" s="5">
        <v>43221</v>
      </c>
      <c r="DH1" s="5">
        <v>43252</v>
      </c>
      <c r="DI1" s="5">
        <v>43282</v>
      </c>
      <c r="DJ1" s="5">
        <v>43313</v>
      </c>
      <c r="DK1" s="5">
        <v>43344</v>
      </c>
      <c r="DL1" s="5">
        <v>43374</v>
      </c>
      <c r="DM1" s="5">
        <v>43405</v>
      </c>
      <c r="DN1" s="5">
        <v>43435</v>
      </c>
      <c r="DO1" s="6">
        <v>2018</v>
      </c>
      <c r="DP1" s="3"/>
      <c r="DQ1" s="5">
        <v>43101</v>
      </c>
      <c r="DR1" s="5">
        <v>43132</v>
      </c>
      <c r="DS1" s="5">
        <v>43160</v>
      </c>
      <c r="DT1" s="5">
        <v>43191</v>
      </c>
      <c r="DU1" s="5">
        <v>43221</v>
      </c>
      <c r="DV1" s="5">
        <v>43252</v>
      </c>
      <c r="DW1" s="5">
        <v>43282</v>
      </c>
      <c r="DX1" s="5">
        <v>43313</v>
      </c>
      <c r="DY1" s="5">
        <v>43344</v>
      </c>
      <c r="DZ1" s="5">
        <v>43374</v>
      </c>
      <c r="EA1" s="5">
        <v>43405</v>
      </c>
      <c r="EB1" s="5">
        <v>43435</v>
      </c>
      <c r="EC1" s="6">
        <v>2018</v>
      </c>
      <c r="ED1" s="3"/>
      <c r="EE1" s="5">
        <v>43101</v>
      </c>
      <c r="EF1" s="5">
        <v>43132</v>
      </c>
      <c r="EG1" s="5">
        <v>43160</v>
      </c>
      <c r="EH1" s="5">
        <v>43191</v>
      </c>
      <c r="EI1" s="5">
        <v>43221</v>
      </c>
      <c r="EJ1" s="5">
        <v>43252</v>
      </c>
      <c r="EK1" s="5">
        <v>43282</v>
      </c>
      <c r="EL1" s="5">
        <v>43313</v>
      </c>
      <c r="EM1" s="5">
        <v>43344</v>
      </c>
      <c r="EN1" s="5">
        <v>43374</v>
      </c>
      <c r="EO1" s="5">
        <v>43405</v>
      </c>
      <c r="EP1" s="5">
        <v>43435</v>
      </c>
      <c r="EQ1" s="6">
        <v>2018</v>
      </c>
    </row>
    <row r="2" spans="1:147" s="7" customFormat="1">
      <c r="G2" s="3"/>
      <c r="H2" s="3"/>
      <c r="I2" s="304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8">
        <v>521</v>
      </c>
      <c r="X2" s="8">
        <v>521</v>
      </c>
      <c r="Y2" s="8">
        <v>521</v>
      </c>
      <c r="Z2" s="8">
        <v>521</v>
      </c>
      <c r="AA2" s="8">
        <v>521</v>
      </c>
      <c r="AB2" s="8">
        <v>521</v>
      </c>
      <c r="AC2" s="8">
        <v>521</v>
      </c>
      <c r="AD2" s="8">
        <v>521</v>
      </c>
      <c r="AE2" s="8">
        <v>521</v>
      </c>
      <c r="AF2" s="8">
        <v>521</v>
      </c>
      <c r="AG2" s="8">
        <v>521</v>
      </c>
      <c r="AH2" s="8">
        <v>521</v>
      </c>
      <c r="AI2" s="8">
        <v>521</v>
      </c>
      <c r="AJ2" s="3"/>
      <c r="AK2" s="8">
        <v>521</v>
      </c>
      <c r="AL2" s="8">
        <v>521</v>
      </c>
      <c r="AM2" s="8">
        <v>521</v>
      </c>
      <c r="AN2" s="8">
        <v>521</v>
      </c>
      <c r="AO2" s="8">
        <v>521</v>
      </c>
      <c r="AP2" s="8">
        <v>521</v>
      </c>
      <c r="AQ2" s="8">
        <v>521</v>
      </c>
      <c r="AR2" s="8">
        <v>521</v>
      </c>
      <c r="AS2" s="8">
        <v>521</v>
      </c>
      <c r="AT2" s="8">
        <v>521</v>
      </c>
      <c r="AU2" s="8">
        <v>521</v>
      </c>
      <c r="AV2" s="8">
        <v>521</v>
      </c>
      <c r="AW2" s="8">
        <v>521</v>
      </c>
      <c r="AX2" s="3"/>
      <c r="AY2" s="8" t="s">
        <v>17</v>
      </c>
      <c r="AZ2" s="8" t="s">
        <v>17</v>
      </c>
      <c r="BA2" s="8" t="s">
        <v>17</v>
      </c>
      <c r="BB2" s="8" t="s">
        <v>17</v>
      </c>
      <c r="BC2" s="8" t="s">
        <v>17</v>
      </c>
      <c r="BD2" s="8" t="s">
        <v>17</v>
      </c>
      <c r="BE2" s="8" t="s">
        <v>17</v>
      </c>
      <c r="BF2" s="8" t="s">
        <v>17</v>
      </c>
      <c r="BG2" s="8" t="s">
        <v>17</v>
      </c>
      <c r="BH2" s="8" t="s">
        <v>17</v>
      </c>
      <c r="BI2" s="8" t="s">
        <v>17</v>
      </c>
      <c r="BJ2" s="8" t="s">
        <v>17</v>
      </c>
      <c r="BK2" s="8">
        <v>527</v>
      </c>
      <c r="BL2" s="3"/>
      <c r="BM2" s="8">
        <v>524</v>
      </c>
      <c r="BN2" s="8">
        <v>524</v>
      </c>
      <c r="BO2" s="8">
        <v>524</v>
      </c>
      <c r="BP2" s="8">
        <v>524</v>
      </c>
      <c r="BQ2" s="8">
        <v>524</v>
      </c>
      <c r="BR2" s="8">
        <v>524</v>
      </c>
      <c r="BS2" s="8">
        <v>524</v>
      </c>
      <c r="BT2" s="8">
        <v>524</v>
      </c>
      <c r="BU2" s="8">
        <v>524</v>
      </c>
      <c r="BV2" s="8">
        <v>524</v>
      </c>
      <c r="BW2" s="8">
        <v>524</v>
      </c>
      <c r="BX2" s="8">
        <v>524</v>
      </c>
      <c r="BY2" s="8">
        <v>524</v>
      </c>
      <c r="BZ2" s="3"/>
      <c r="CA2" s="8">
        <v>524</v>
      </c>
      <c r="CB2" s="8">
        <v>524</v>
      </c>
      <c r="CC2" s="8">
        <v>524</v>
      </c>
      <c r="CD2" s="8">
        <v>524</v>
      </c>
      <c r="CE2" s="8">
        <v>524</v>
      </c>
      <c r="CF2" s="8">
        <v>524</v>
      </c>
      <c r="CG2" s="8">
        <v>524</v>
      </c>
      <c r="CH2" s="8">
        <v>524</v>
      </c>
      <c r="CI2" s="8">
        <v>524</v>
      </c>
      <c r="CJ2" s="8">
        <v>524</v>
      </c>
      <c r="CK2" s="8">
        <v>524</v>
      </c>
      <c r="CL2" s="8">
        <v>524</v>
      </c>
      <c r="CM2" s="8">
        <v>524</v>
      </c>
      <c r="CN2" s="3"/>
      <c r="CO2" s="8" t="s">
        <v>18</v>
      </c>
      <c r="CP2" s="8" t="s">
        <v>18</v>
      </c>
      <c r="CQ2" s="8" t="s">
        <v>18</v>
      </c>
      <c r="CR2" s="8" t="s">
        <v>18</v>
      </c>
      <c r="CS2" s="8" t="s">
        <v>18</v>
      </c>
      <c r="CT2" s="8" t="s">
        <v>18</v>
      </c>
      <c r="CU2" s="8" t="s">
        <v>18</v>
      </c>
      <c r="CV2" s="8" t="s">
        <v>18</v>
      </c>
      <c r="CW2" s="8" t="s">
        <v>18</v>
      </c>
      <c r="CX2" s="8" t="s">
        <v>18</v>
      </c>
      <c r="CY2" s="8" t="s">
        <v>18</v>
      </c>
      <c r="CZ2" s="8" t="s">
        <v>18</v>
      </c>
      <c r="DA2" s="8">
        <v>518016</v>
      </c>
      <c r="DB2" s="3"/>
      <c r="DC2" s="8" t="s">
        <v>19</v>
      </c>
      <c r="DD2" s="8" t="s">
        <v>19</v>
      </c>
      <c r="DE2" s="8" t="s">
        <v>19</v>
      </c>
      <c r="DF2" s="8" t="s">
        <v>19</v>
      </c>
      <c r="DG2" s="8" t="s">
        <v>19</v>
      </c>
      <c r="DH2" s="8" t="s">
        <v>19</v>
      </c>
      <c r="DI2" s="8" t="s">
        <v>19</v>
      </c>
      <c r="DJ2" s="8" t="s">
        <v>19</v>
      </c>
      <c r="DK2" s="8" t="s">
        <v>19</v>
      </c>
      <c r="DL2" s="8" t="s">
        <v>19</v>
      </c>
      <c r="DM2" s="8" t="s">
        <v>19</v>
      </c>
      <c r="DN2" s="8" t="s">
        <v>19</v>
      </c>
      <c r="DO2" s="8">
        <v>548</v>
      </c>
      <c r="DP2" s="3"/>
      <c r="DQ2" s="8">
        <v>518010</v>
      </c>
      <c r="DR2" s="8">
        <v>518010</v>
      </c>
      <c r="DS2" s="8">
        <v>518010</v>
      </c>
      <c r="DT2" s="8">
        <v>518010</v>
      </c>
      <c r="DU2" s="8">
        <v>518010</v>
      </c>
      <c r="DV2" s="8">
        <v>518010</v>
      </c>
      <c r="DW2" s="8">
        <v>518010</v>
      </c>
      <c r="DX2" s="8">
        <v>518010</v>
      </c>
      <c r="DY2" s="8">
        <v>518010</v>
      </c>
      <c r="DZ2" s="8">
        <v>518010</v>
      </c>
      <c r="EA2" s="8">
        <v>518010</v>
      </c>
      <c r="EB2" s="8">
        <v>518010</v>
      </c>
      <c r="EC2" s="8">
        <v>518007</v>
      </c>
      <c r="ED2" s="3"/>
      <c r="EE2" s="8" t="s">
        <v>211</v>
      </c>
      <c r="EF2" s="8" t="s">
        <v>211</v>
      </c>
      <c r="EG2" s="8" t="s">
        <v>211</v>
      </c>
      <c r="EH2" s="8" t="s">
        <v>211</v>
      </c>
      <c r="EI2" s="8" t="s">
        <v>211</v>
      </c>
      <c r="EJ2" s="8" t="s">
        <v>211</v>
      </c>
      <c r="EK2" s="8" t="s">
        <v>211</v>
      </c>
      <c r="EL2" s="8" t="s">
        <v>211</v>
      </c>
      <c r="EM2" s="8" t="s">
        <v>211</v>
      </c>
      <c r="EN2" s="8" t="s">
        <v>211</v>
      </c>
      <c r="EO2" s="8" t="s">
        <v>211</v>
      </c>
      <c r="EP2" s="8" t="s">
        <v>211</v>
      </c>
      <c r="EQ2" s="8" t="s">
        <v>211</v>
      </c>
    </row>
    <row r="3" spans="1:147" s="7" customFormat="1" ht="3.75" customHeight="1">
      <c r="A3" s="9" t="s">
        <v>178</v>
      </c>
      <c r="B3" s="9" t="s">
        <v>11</v>
      </c>
      <c r="C3" s="9" t="s">
        <v>11</v>
      </c>
      <c r="D3" s="9" t="s">
        <v>11</v>
      </c>
      <c r="E3" s="9" t="s">
        <v>11</v>
      </c>
      <c r="F3" s="7">
        <v>1</v>
      </c>
      <c r="G3" s="233">
        <v>2</v>
      </c>
      <c r="H3" s="7">
        <v>3</v>
      </c>
      <c r="I3" s="305">
        <v>4</v>
      </c>
      <c r="J3" s="7">
        <v>5</v>
      </c>
      <c r="K3" s="233">
        <v>6</v>
      </c>
      <c r="L3" s="7">
        <v>7</v>
      </c>
      <c r="M3" s="358">
        <v>8</v>
      </c>
      <c r="N3" s="7">
        <v>9</v>
      </c>
      <c r="O3" s="233">
        <v>10</v>
      </c>
      <c r="P3" s="7">
        <v>11</v>
      </c>
      <c r="Q3" s="233">
        <v>12</v>
      </c>
      <c r="R3" s="7">
        <v>13</v>
      </c>
      <c r="S3" s="233">
        <v>14</v>
      </c>
      <c r="T3" s="7">
        <v>15</v>
      </c>
      <c r="U3" s="233">
        <v>16</v>
      </c>
      <c r="V3" s="7">
        <v>17</v>
      </c>
      <c r="W3" s="233">
        <v>18</v>
      </c>
      <c r="X3" s="7">
        <v>19</v>
      </c>
      <c r="Y3" s="233">
        <v>20</v>
      </c>
      <c r="Z3" s="7">
        <v>21</v>
      </c>
      <c r="AA3" s="233">
        <v>22</v>
      </c>
      <c r="AB3" s="7">
        <v>23</v>
      </c>
      <c r="AC3" s="233">
        <v>24</v>
      </c>
      <c r="AD3" s="7">
        <v>25</v>
      </c>
      <c r="AE3" s="233">
        <v>26</v>
      </c>
      <c r="AF3" s="7">
        <v>27</v>
      </c>
      <c r="AG3" s="233">
        <v>28</v>
      </c>
      <c r="AH3" s="7">
        <v>29</v>
      </c>
      <c r="AI3" s="233">
        <v>30</v>
      </c>
      <c r="AJ3" s="7">
        <v>31</v>
      </c>
      <c r="AK3" s="233">
        <v>32</v>
      </c>
      <c r="AL3" s="7">
        <v>33</v>
      </c>
      <c r="AM3" s="233">
        <v>34</v>
      </c>
      <c r="AN3" s="7">
        <v>35</v>
      </c>
      <c r="AO3" s="233">
        <v>36</v>
      </c>
      <c r="AP3" s="7">
        <v>37</v>
      </c>
      <c r="AQ3" s="233">
        <v>38</v>
      </c>
      <c r="AR3" s="7">
        <v>39</v>
      </c>
      <c r="AS3" s="233">
        <v>40</v>
      </c>
      <c r="AT3" s="7">
        <v>41</v>
      </c>
      <c r="AU3" s="233">
        <v>42</v>
      </c>
      <c r="AV3" s="7">
        <v>43</v>
      </c>
      <c r="AW3" s="233">
        <v>44</v>
      </c>
      <c r="AX3" s="7">
        <v>45</v>
      </c>
      <c r="AY3" s="233">
        <v>46</v>
      </c>
      <c r="AZ3" s="7">
        <v>47</v>
      </c>
      <c r="BA3" s="233">
        <v>48</v>
      </c>
      <c r="BB3" s="7">
        <v>49</v>
      </c>
      <c r="BC3" s="233">
        <v>50</v>
      </c>
      <c r="BD3" s="7">
        <v>51</v>
      </c>
      <c r="BE3" s="233">
        <v>52</v>
      </c>
      <c r="BF3" s="7">
        <v>53</v>
      </c>
      <c r="BG3" s="233">
        <v>54</v>
      </c>
      <c r="BH3" s="7">
        <v>55</v>
      </c>
      <c r="BI3" s="233">
        <v>56</v>
      </c>
      <c r="BJ3" s="7">
        <v>57</v>
      </c>
      <c r="BK3" s="233">
        <v>58</v>
      </c>
      <c r="BL3" s="7">
        <v>59</v>
      </c>
      <c r="BM3" s="233">
        <v>60</v>
      </c>
      <c r="BN3" s="7">
        <v>61</v>
      </c>
      <c r="BO3" s="233">
        <v>62</v>
      </c>
      <c r="BP3" s="7">
        <v>63</v>
      </c>
      <c r="BQ3" s="233">
        <v>64</v>
      </c>
      <c r="BR3" s="7">
        <v>65</v>
      </c>
      <c r="BS3" s="233">
        <v>66</v>
      </c>
      <c r="BT3" s="7">
        <v>67</v>
      </c>
      <c r="BU3" s="233">
        <v>68</v>
      </c>
      <c r="BV3" s="7">
        <v>69</v>
      </c>
      <c r="BW3" s="233">
        <v>70</v>
      </c>
      <c r="BX3" s="7">
        <v>71</v>
      </c>
      <c r="BY3" s="233">
        <v>72</v>
      </c>
      <c r="BZ3" s="7">
        <v>73</v>
      </c>
      <c r="CA3" s="233">
        <v>74</v>
      </c>
      <c r="CB3" s="7">
        <v>75</v>
      </c>
      <c r="CC3" s="233">
        <v>76</v>
      </c>
      <c r="CD3" s="7">
        <v>77</v>
      </c>
      <c r="CE3" s="233">
        <v>78</v>
      </c>
      <c r="CF3" s="7">
        <v>79</v>
      </c>
      <c r="CG3" s="233">
        <v>80</v>
      </c>
      <c r="CH3" s="7">
        <v>81</v>
      </c>
      <c r="CI3" s="233">
        <v>82</v>
      </c>
      <c r="CJ3" s="7">
        <v>83</v>
      </c>
      <c r="CK3" s="233">
        <v>84</v>
      </c>
      <c r="CL3" s="7">
        <v>85</v>
      </c>
      <c r="CM3" s="233">
        <v>86</v>
      </c>
      <c r="CN3" s="7">
        <v>87</v>
      </c>
      <c r="CO3" s="233">
        <v>88</v>
      </c>
      <c r="CP3" s="7">
        <v>89</v>
      </c>
      <c r="CQ3" s="233">
        <v>90</v>
      </c>
      <c r="CR3" s="7">
        <v>91</v>
      </c>
      <c r="CS3" s="233">
        <v>92</v>
      </c>
      <c r="CT3" s="7">
        <v>93</v>
      </c>
      <c r="CU3" s="233">
        <v>94</v>
      </c>
      <c r="CV3" s="7">
        <v>95</v>
      </c>
      <c r="CW3" s="233">
        <v>96</v>
      </c>
      <c r="CX3" s="7">
        <v>97</v>
      </c>
      <c r="CY3" s="233">
        <v>98</v>
      </c>
      <c r="CZ3" s="7">
        <v>99</v>
      </c>
      <c r="DA3" s="233">
        <v>100</v>
      </c>
      <c r="DB3" s="7">
        <v>101</v>
      </c>
      <c r="DC3" s="233">
        <v>102</v>
      </c>
      <c r="DD3" s="7">
        <v>103</v>
      </c>
      <c r="DE3" s="233">
        <v>104</v>
      </c>
      <c r="DF3" s="7">
        <v>105</v>
      </c>
      <c r="DG3" s="233">
        <v>106</v>
      </c>
      <c r="DH3" s="7">
        <v>107</v>
      </c>
      <c r="DI3" s="233">
        <v>108</v>
      </c>
      <c r="DJ3" s="7">
        <v>109</v>
      </c>
      <c r="DK3" s="233">
        <v>110</v>
      </c>
      <c r="DL3" s="7">
        <v>111</v>
      </c>
      <c r="DM3" s="233">
        <v>112</v>
      </c>
      <c r="DN3" s="7">
        <v>113</v>
      </c>
      <c r="DO3" s="233">
        <v>114</v>
      </c>
      <c r="DP3" s="7">
        <v>115</v>
      </c>
      <c r="DQ3" s="233">
        <v>116</v>
      </c>
      <c r="DR3" s="7">
        <v>117</v>
      </c>
      <c r="DS3" s="233">
        <v>118</v>
      </c>
      <c r="DT3" s="7">
        <v>119</v>
      </c>
      <c r="DU3" s="233">
        <v>120</v>
      </c>
      <c r="DV3" s="7">
        <v>121</v>
      </c>
      <c r="DW3" s="233">
        <v>122</v>
      </c>
      <c r="DX3" s="7">
        <v>123</v>
      </c>
      <c r="DY3" s="233">
        <v>124</v>
      </c>
      <c r="DZ3" s="7">
        <v>125</v>
      </c>
      <c r="EA3" s="233">
        <v>126</v>
      </c>
      <c r="EB3" s="7">
        <v>127</v>
      </c>
      <c r="EC3" s="233">
        <v>128</v>
      </c>
      <c r="ED3" s="7">
        <v>129</v>
      </c>
      <c r="EE3" s="233">
        <v>130</v>
      </c>
      <c r="EF3" s="7">
        <v>131</v>
      </c>
      <c r="EG3" s="233">
        <v>132</v>
      </c>
      <c r="EH3" s="7">
        <v>133</v>
      </c>
      <c r="EI3" s="233">
        <v>134</v>
      </c>
      <c r="EJ3" s="7">
        <v>135</v>
      </c>
      <c r="EK3" s="233">
        <v>136</v>
      </c>
      <c r="EL3" s="7">
        <v>137</v>
      </c>
      <c r="EM3" s="233">
        <v>138</v>
      </c>
      <c r="EN3" s="7">
        <v>139</v>
      </c>
      <c r="EO3" s="233">
        <v>140</v>
      </c>
      <c r="EP3" s="7">
        <v>141</v>
      </c>
      <c r="EQ3" s="233">
        <v>142</v>
      </c>
    </row>
    <row r="4" spans="1:147" s="17" customFormat="1" ht="36.75" customHeight="1">
      <c r="A4" s="11"/>
      <c r="B4" s="11" t="s">
        <v>24</v>
      </c>
      <c r="C4" s="11" t="s">
        <v>213</v>
      </c>
      <c r="D4" s="11" t="s">
        <v>214</v>
      </c>
      <c r="E4" s="11" t="s">
        <v>56</v>
      </c>
      <c r="F4" s="12"/>
      <c r="G4" s="466">
        <f>ES47</f>
        <v>102307.7919457145</v>
      </c>
      <c r="H4" s="13"/>
      <c r="I4" s="306"/>
      <c r="J4" s="13"/>
      <c r="K4" s="13"/>
      <c r="L4" s="13"/>
      <c r="M4" s="359"/>
      <c r="N4" s="14" t="s">
        <v>156</v>
      </c>
      <c r="O4" s="14" t="s">
        <v>151</v>
      </c>
      <c r="P4" s="14" t="s">
        <v>153</v>
      </c>
      <c r="Q4" s="14" t="s">
        <v>154</v>
      </c>
      <c r="R4" s="14" t="s">
        <v>28</v>
      </c>
      <c r="S4" s="14" t="s">
        <v>155</v>
      </c>
      <c r="T4" s="14" t="s">
        <v>56</v>
      </c>
      <c r="U4" s="14" t="s">
        <v>29</v>
      </c>
      <c r="V4" s="354" t="s">
        <v>156</v>
      </c>
      <c r="W4" s="16" t="s">
        <v>26</v>
      </c>
      <c r="X4" s="16" t="s">
        <v>26</v>
      </c>
      <c r="Y4" s="16" t="s">
        <v>26</v>
      </c>
      <c r="Z4" s="16" t="s">
        <v>26</v>
      </c>
      <c r="AA4" s="16" t="s">
        <v>26</v>
      </c>
      <c r="AB4" s="16" t="s">
        <v>26</v>
      </c>
      <c r="AC4" s="16" t="s">
        <v>26</v>
      </c>
      <c r="AD4" s="16" t="s">
        <v>26</v>
      </c>
      <c r="AE4" s="16" t="s">
        <v>26</v>
      </c>
      <c r="AF4" s="16" t="s">
        <v>26</v>
      </c>
      <c r="AG4" s="16" t="s">
        <v>26</v>
      </c>
      <c r="AH4" s="16" t="s">
        <v>26</v>
      </c>
      <c r="AI4" s="16" t="s">
        <v>26</v>
      </c>
      <c r="AJ4" s="15"/>
      <c r="AK4" s="16" t="s">
        <v>27</v>
      </c>
      <c r="AL4" s="16" t="s">
        <v>27</v>
      </c>
      <c r="AM4" s="16" t="s">
        <v>27</v>
      </c>
      <c r="AN4" s="16" t="s">
        <v>27</v>
      </c>
      <c r="AO4" s="16" t="s">
        <v>27</v>
      </c>
      <c r="AP4" s="16" t="s">
        <v>27</v>
      </c>
      <c r="AQ4" s="16" t="s">
        <v>27</v>
      </c>
      <c r="AR4" s="16" t="s">
        <v>27</v>
      </c>
      <c r="AS4" s="16" t="s">
        <v>27</v>
      </c>
      <c r="AT4" s="16" t="s">
        <v>27</v>
      </c>
      <c r="AU4" s="16" t="s">
        <v>27</v>
      </c>
      <c r="AV4" s="16" t="s">
        <v>27</v>
      </c>
      <c r="AW4" s="16" t="s">
        <v>27</v>
      </c>
      <c r="AX4" s="15"/>
      <c r="AY4" s="16" t="s">
        <v>41</v>
      </c>
      <c r="AZ4" s="16" t="s">
        <v>41</v>
      </c>
      <c r="BA4" s="16" t="s">
        <v>41</v>
      </c>
      <c r="BB4" s="16" t="s">
        <v>41</v>
      </c>
      <c r="BC4" s="16" t="s">
        <v>41</v>
      </c>
      <c r="BD4" s="16" t="s">
        <v>41</v>
      </c>
      <c r="BE4" s="16" t="s">
        <v>41</v>
      </c>
      <c r="BF4" s="16" t="s">
        <v>41</v>
      </c>
      <c r="BG4" s="16" t="s">
        <v>41</v>
      </c>
      <c r="BH4" s="16" t="s">
        <v>41</v>
      </c>
      <c r="BI4" s="16" t="s">
        <v>41</v>
      </c>
      <c r="BJ4" s="16" t="s">
        <v>41</v>
      </c>
      <c r="BK4" s="16" t="s">
        <v>41</v>
      </c>
      <c r="BL4" s="15"/>
      <c r="BM4" s="16" t="s">
        <v>42</v>
      </c>
      <c r="BN4" s="16" t="s">
        <v>42</v>
      </c>
      <c r="BO4" s="16" t="s">
        <v>42</v>
      </c>
      <c r="BP4" s="16" t="s">
        <v>42</v>
      </c>
      <c r="BQ4" s="16" t="s">
        <v>42</v>
      </c>
      <c r="BR4" s="16" t="s">
        <v>42</v>
      </c>
      <c r="BS4" s="16" t="s">
        <v>42</v>
      </c>
      <c r="BT4" s="16" t="s">
        <v>42</v>
      </c>
      <c r="BU4" s="16" t="s">
        <v>42</v>
      </c>
      <c r="BV4" s="16" t="s">
        <v>42</v>
      </c>
      <c r="BW4" s="16" t="s">
        <v>42</v>
      </c>
      <c r="BX4" s="16" t="s">
        <v>42</v>
      </c>
      <c r="BY4" s="16" t="s">
        <v>42</v>
      </c>
      <c r="BZ4" s="15"/>
      <c r="CA4" s="16" t="s">
        <v>43</v>
      </c>
      <c r="CB4" s="16" t="s">
        <v>43</v>
      </c>
      <c r="CC4" s="16" t="s">
        <v>43</v>
      </c>
      <c r="CD4" s="16" t="s">
        <v>43</v>
      </c>
      <c r="CE4" s="16" t="s">
        <v>43</v>
      </c>
      <c r="CF4" s="16" t="s">
        <v>43</v>
      </c>
      <c r="CG4" s="16" t="s">
        <v>43</v>
      </c>
      <c r="CH4" s="16" t="s">
        <v>43</v>
      </c>
      <c r="CI4" s="16" t="s">
        <v>43</v>
      </c>
      <c r="CJ4" s="16" t="s">
        <v>43</v>
      </c>
      <c r="CK4" s="16" t="s">
        <v>43</v>
      </c>
      <c r="CL4" s="16" t="s">
        <v>43</v>
      </c>
      <c r="CM4" s="16" t="s">
        <v>43</v>
      </c>
      <c r="CN4" s="15"/>
      <c r="CO4" s="16" t="s">
        <v>44</v>
      </c>
      <c r="CP4" s="16" t="s">
        <v>44</v>
      </c>
      <c r="CQ4" s="16" t="s">
        <v>44</v>
      </c>
      <c r="CR4" s="16" t="s">
        <v>44</v>
      </c>
      <c r="CS4" s="16" t="s">
        <v>44</v>
      </c>
      <c r="CT4" s="16" t="s">
        <v>44</v>
      </c>
      <c r="CU4" s="16" t="s">
        <v>44</v>
      </c>
      <c r="CV4" s="16" t="s">
        <v>44</v>
      </c>
      <c r="CW4" s="16" t="s">
        <v>44</v>
      </c>
      <c r="CX4" s="16" t="s">
        <v>44</v>
      </c>
      <c r="CY4" s="16" t="s">
        <v>44</v>
      </c>
      <c r="CZ4" s="16" t="s">
        <v>44</v>
      </c>
      <c r="DA4" s="16" t="s">
        <v>44</v>
      </c>
      <c r="DB4" s="15"/>
      <c r="DC4" s="16" t="s">
        <v>16</v>
      </c>
      <c r="DD4" s="16" t="s">
        <v>16</v>
      </c>
      <c r="DE4" s="16" t="s">
        <v>16</v>
      </c>
      <c r="DF4" s="16" t="s">
        <v>16</v>
      </c>
      <c r="DG4" s="16" t="s">
        <v>16</v>
      </c>
      <c r="DH4" s="16" t="s">
        <v>16</v>
      </c>
      <c r="DI4" s="16" t="s">
        <v>16</v>
      </c>
      <c r="DJ4" s="16" t="s">
        <v>16</v>
      </c>
      <c r="DK4" s="16" t="s">
        <v>16</v>
      </c>
      <c r="DL4" s="16" t="s">
        <v>16</v>
      </c>
      <c r="DM4" s="16" t="s">
        <v>16</v>
      </c>
      <c r="DN4" s="16" t="s">
        <v>16</v>
      </c>
      <c r="DO4" s="16" t="s">
        <v>16</v>
      </c>
      <c r="DP4" s="15"/>
      <c r="DQ4" s="16" t="s">
        <v>215</v>
      </c>
      <c r="DR4" s="16" t="s">
        <v>215</v>
      </c>
      <c r="DS4" s="16" t="s">
        <v>215</v>
      </c>
      <c r="DT4" s="16" t="s">
        <v>215</v>
      </c>
      <c r="DU4" s="16" t="s">
        <v>215</v>
      </c>
      <c r="DV4" s="16" t="s">
        <v>215</v>
      </c>
      <c r="DW4" s="16" t="s">
        <v>215</v>
      </c>
      <c r="DX4" s="16" t="s">
        <v>215</v>
      </c>
      <c r="DY4" s="16" t="s">
        <v>215</v>
      </c>
      <c r="DZ4" s="16" t="s">
        <v>215</v>
      </c>
      <c r="EA4" s="16" t="s">
        <v>215</v>
      </c>
      <c r="EB4" s="16" t="s">
        <v>215</v>
      </c>
      <c r="EC4" s="16" t="s">
        <v>215</v>
      </c>
      <c r="ED4" s="15"/>
      <c r="EE4" s="16" t="s">
        <v>212</v>
      </c>
      <c r="EF4" s="16" t="s">
        <v>212</v>
      </c>
      <c r="EG4" s="16" t="s">
        <v>212</v>
      </c>
      <c r="EH4" s="16" t="s">
        <v>212</v>
      </c>
      <c r="EI4" s="16" t="s">
        <v>212</v>
      </c>
      <c r="EJ4" s="16" t="s">
        <v>212</v>
      </c>
      <c r="EK4" s="16" t="s">
        <v>212</v>
      </c>
      <c r="EL4" s="16" t="s">
        <v>212</v>
      </c>
      <c r="EM4" s="16" t="s">
        <v>212</v>
      </c>
      <c r="EN4" s="16" t="s">
        <v>212</v>
      </c>
      <c r="EO4" s="16" t="s">
        <v>212</v>
      </c>
      <c r="EP4" s="16" t="s">
        <v>212</v>
      </c>
      <c r="EQ4" s="16" t="s">
        <v>212</v>
      </c>
    </row>
    <row r="5" spans="1:147" s="20" customFormat="1" ht="141.75">
      <c r="A5" s="18">
        <f>SUM(A6:A29)</f>
        <v>14938703.800000004</v>
      </c>
      <c r="B5" s="18">
        <f>SUM(B6:B29)</f>
        <v>14381303.800000004</v>
      </c>
      <c r="C5" s="18">
        <f>SUM(C6:C29)</f>
        <v>153000</v>
      </c>
      <c r="D5" s="18">
        <f>SUM(D6:D29)</f>
        <v>104400</v>
      </c>
      <c r="E5" s="18">
        <f>SUM(E6:E29)</f>
        <v>300000</v>
      </c>
      <c r="F5" s="354" t="s">
        <v>399</v>
      </c>
      <c r="G5" s="13" t="s">
        <v>237</v>
      </c>
      <c r="H5" s="13" t="s">
        <v>138</v>
      </c>
      <c r="I5" s="306" t="s">
        <v>139</v>
      </c>
      <c r="J5" s="13" t="s">
        <v>140</v>
      </c>
      <c r="K5" s="13" t="s">
        <v>141</v>
      </c>
      <c r="L5" s="13" t="s">
        <v>142</v>
      </c>
      <c r="M5" s="359" t="s">
        <v>252</v>
      </c>
      <c r="N5" s="14"/>
      <c r="O5" s="14"/>
      <c r="P5" s="14"/>
      <c r="Q5" s="14"/>
      <c r="R5" s="14"/>
      <c r="S5" s="14"/>
      <c r="T5" s="14" t="s">
        <v>55</v>
      </c>
      <c r="U5" s="395">
        <f>SUM(U6:U29)</f>
        <v>153000</v>
      </c>
      <c r="V5" s="354" t="s">
        <v>406</v>
      </c>
      <c r="W5" s="18">
        <f t="shared" ref="W5:AI5" si="0">SUM(W6:W29)</f>
        <v>753625</v>
      </c>
      <c r="X5" s="18">
        <f t="shared" si="0"/>
        <v>753625</v>
      </c>
      <c r="Y5" s="18">
        <f t="shared" si="0"/>
        <v>753625</v>
      </c>
      <c r="Z5" s="18">
        <f t="shared" si="0"/>
        <v>753625</v>
      </c>
      <c r="AA5" s="18">
        <f t="shared" si="0"/>
        <v>753625</v>
      </c>
      <c r="AB5" s="18">
        <f t="shared" si="0"/>
        <v>753625</v>
      </c>
      <c r="AC5" s="18">
        <f t="shared" si="0"/>
        <v>753625</v>
      </c>
      <c r="AD5" s="18">
        <f t="shared" si="0"/>
        <v>753625</v>
      </c>
      <c r="AE5" s="18">
        <f t="shared" si="0"/>
        <v>753625</v>
      </c>
      <c r="AF5" s="18">
        <f t="shared" si="0"/>
        <v>753625</v>
      </c>
      <c r="AG5" s="18">
        <f t="shared" si="0"/>
        <v>753625</v>
      </c>
      <c r="AH5" s="18">
        <f t="shared" si="0"/>
        <v>753625</v>
      </c>
      <c r="AI5" s="18">
        <f t="shared" si="0"/>
        <v>9043500</v>
      </c>
      <c r="AJ5" s="10"/>
      <c r="AK5" s="19">
        <f t="shared" ref="AK5:AW5" si="1">SUM(AK6:AK29)</f>
        <v>121922.5</v>
      </c>
      <c r="AL5" s="363">
        <f t="shared" si="1"/>
        <v>121922.5</v>
      </c>
      <c r="AM5" s="363">
        <f t="shared" si="1"/>
        <v>121922.5</v>
      </c>
      <c r="AN5" s="363">
        <f t="shared" si="1"/>
        <v>121922.5</v>
      </c>
      <c r="AO5" s="363">
        <f t="shared" si="1"/>
        <v>121922.5</v>
      </c>
      <c r="AP5" s="363">
        <f t="shared" si="1"/>
        <v>121922.5</v>
      </c>
      <c r="AQ5" s="363">
        <f t="shared" si="1"/>
        <v>121922.5</v>
      </c>
      <c r="AR5" s="363">
        <f t="shared" si="1"/>
        <v>121922.5</v>
      </c>
      <c r="AS5" s="363">
        <f t="shared" si="1"/>
        <v>121922.5</v>
      </c>
      <c r="AT5" s="363">
        <f t="shared" si="1"/>
        <v>121922.5</v>
      </c>
      <c r="AU5" s="363">
        <f t="shared" si="1"/>
        <v>121922.5</v>
      </c>
      <c r="AV5" s="363">
        <f t="shared" si="1"/>
        <v>121922.5</v>
      </c>
      <c r="AW5" s="363">
        <f t="shared" si="1"/>
        <v>1463070</v>
      </c>
      <c r="AX5" s="10"/>
      <c r="AY5" s="363">
        <f t="shared" ref="AY5:BK5" si="2">SUM(AY6:AY29)</f>
        <v>26620</v>
      </c>
      <c r="AZ5" s="363">
        <f t="shared" si="2"/>
        <v>24200</v>
      </c>
      <c r="BA5" s="363">
        <f t="shared" si="2"/>
        <v>25410</v>
      </c>
      <c r="BB5" s="363">
        <f t="shared" si="2"/>
        <v>24200</v>
      </c>
      <c r="BC5" s="363">
        <f t="shared" si="2"/>
        <v>25410</v>
      </c>
      <c r="BD5" s="363">
        <f t="shared" si="2"/>
        <v>25410</v>
      </c>
      <c r="BE5" s="363">
        <f t="shared" si="2"/>
        <v>24200</v>
      </c>
      <c r="BF5" s="363">
        <f t="shared" si="2"/>
        <v>27830</v>
      </c>
      <c r="BG5" s="363">
        <f t="shared" si="2"/>
        <v>22990</v>
      </c>
      <c r="BH5" s="363">
        <f t="shared" si="2"/>
        <v>27830</v>
      </c>
      <c r="BI5" s="363">
        <f t="shared" si="2"/>
        <v>26620</v>
      </c>
      <c r="BJ5" s="363">
        <f t="shared" si="2"/>
        <v>21780</v>
      </c>
      <c r="BK5" s="19">
        <f t="shared" si="2"/>
        <v>302500</v>
      </c>
      <c r="BL5" s="10"/>
      <c r="BM5" s="363">
        <f t="shared" ref="BM5:BY5" si="3">SUM(BM6:BM29)</f>
        <v>218886.875</v>
      </c>
      <c r="BN5" s="363">
        <f t="shared" si="3"/>
        <v>218886.875</v>
      </c>
      <c r="BO5" s="363">
        <f t="shared" si="3"/>
        <v>218886.875</v>
      </c>
      <c r="BP5" s="363">
        <f t="shared" si="3"/>
        <v>218886.875</v>
      </c>
      <c r="BQ5" s="363">
        <f t="shared" si="3"/>
        <v>218886.875</v>
      </c>
      <c r="BR5" s="363">
        <f t="shared" si="3"/>
        <v>218886.875</v>
      </c>
      <c r="BS5" s="363">
        <f t="shared" si="3"/>
        <v>218886.875</v>
      </c>
      <c r="BT5" s="363">
        <f t="shared" si="3"/>
        <v>218886.875</v>
      </c>
      <c r="BU5" s="363">
        <f t="shared" si="3"/>
        <v>218886.875</v>
      </c>
      <c r="BV5" s="363">
        <f t="shared" si="3"/>
        <v>218886.875</v>
      </c>
      <c r="BW5" s="363">
        <f t="shared" si="3"/>
        <v>218886.875</v>
      </c>
      <c r="BX5" s="363">
        <f t="shared" si="3"/>
        <v>218886.875</v>
      </c>
      <c r="BY5" s="19">
        <f t="shared" si="3"/>
        <v>2626642.5</v>
      </c>
      <c r="BZ5" s="363"/>
      <c r="CA5" s="363">
        <f t="shared" ref="CA5:CM5" si="4">SUM(CA6:CA29)</f>
        <v>78799.274999999965</v>
      </c>
      <c r="CB5" s="363">
        <f t="shared" si="4"/>
        <v>78799.274999999965</v>
      </c>
      <c r="CC5" s="363">
        <f t="shared" si="4"/>
        <v>78799.274999999965</v>
      </c>
      <c r="CD5" s="363">
        <f t="shared" si="4"/>
        <v>78799.274999999965</v>
      </c>
      <c r="CE5" s="363">
        <f t="shared" si="4"/>
        <v>78799.274999999965</v>
      </c>
      <c r="CF5" s="363">
        <f t="shared" si="4"/>
        <v>78799.274999999965</v>
      </c>
      <c r="CG5" s="363">
        <f t="shared" si="4"/>
        <v>78799.274999999965</v>
      </c>
      <c r="CH5" s="363">
        <f t="shared" si="4"/>
        <v>78799.274999999965</v>
      </c>
      <c r="CI5" s="363">
        <f t="shared" si="4"/>
        <v>78799.274999999965</v>
      </c>
      <c r="CJ5" s="363">
        <f t="shared" si="4"/>
        <v>78799.274999999965</v>
      </c>
      <c r="CK5" s="363">
        <f t="shared" si="4"/>
        <v>78799.274999999965</v>
      </c>
      <c r="CL5" s="363">
        <f t="shared" si="4"/>
        <v>78799.274999999965</v>
      </c>
      <c r="CM5" s="19">
        <f t="shared" si="4"/>
        <v>945591.30000000028</v>
      </c>
      <c r="CN5" s="10"/>
      <c r="CO5" s="363">
        <f t="shared" ref="CO5:DA5" si="5">SUM(CO6:CO29)</f>
        <v>0</v>
      </c>
      <c r="CP5" s="363">
        <f t="shared" si="5"/>
        <v>0</v>
      </c>
      <c r="CQ5" s="363">
        <f t="shared" si="5"/>
        <v>39000</v>
      </c>
      <c r="CR5" s="363">
        <f t="shared" si="5"/>
        <v>0</v>
      </c>
      <c r="CS5" s="363">
        <f t="shared" si="5"/>
        <v>57000</v>
      </c>
      <c r="CT5" s="363">
        <f t="shared" si="5"/>
        <v>0</v>
      </c>
      <c r="CU5" s="363">
        <f t="shared" si="5"/>
        <v>0</v>
      </c>
      <c r="CV5" s="363">
        <f t="shared" si="5"/>
        <v>0</v>
      </c>
      <c r="CW5" s="363">
        <f t="shared" si="5"/>
        <v>0</v>
      </c>
      <c r="CX5" s="363">
        <f t="shared" si="5"/>
        <v>0</v>
      </c>
      <c r="CY5" s="363">
        <f t="shared" si="5"/>
        <v>57000</v>
      </c>
      <c r="CZ5" s="363">
        <f t="shared" si="5"/>
        <v>0</v>
      </c>
      <c r="DA5" s="19">
        <f t="shared" si="5"/>
        <v>153000</v>
      </c>
      <c r="DB5" s="10">
        <v>3</v>
      </c>
      <c r="DC5" s="363">
        <f t="shared" ref="DC5:DO5" si="6">SUM(DC6:DC29)</f>
        <v>8699.9999999999982</v>
      </c>
      <c r="DD5" s="363">
        <f t="shared" si="6"/>
        <v>8699.9999999999982</v>
      </c>
      <c r="DE5" s="363">
        <f t="shared" si="6"/>
        <v>8699.9999999999982</v>
      </c>
      <c r="DF5" s="363">
        <f t="shared" si="6"/>
        <v>8699.9999999999982</v>
      </c>
      <c r="DG5" s="363">
        <f t="shared" si="6"/>
        <v>8699.9999999999982</v>
      </c>
      <c r="DH5" s="363">
        <f t="shared" si="6"/>
        <v>8699.9999999999982</v>
      </c>
      <c r="DI5" s="363">
        <f t="shared" si="6"/>
        <v>8699.9999999999982</v>
      </c>
      <c r="DJ5" s="363">
        <f t="shared" si="6"/>
        <v>8699.9999999999982</v>
      </c>
      <c r="DK5" s="363">
        <f t="shared" si="6"/>
        <v>8699.9999999999982</v>
      </c>
      <c r="DL5" s="363">
        <f t="shared" si="6"/>
        <v>8699.9999999999982</v>
      </c>
      <c r="DM5" s="363">
        <f t="shared" si="6"/>
        <v>8699.9999999999982</v>
      </c>
      <c r="DN5" s="363">
        <f t="shared" si="6"/>
        <v>8699.9999999999982</v>
      </c>
      <c r="DO5" s="19">
        <f t="shared" si="6"/>
        <v>104400</v>
      </c>
      <c r="DP5" s="10"/>
      <c r="DQ5" s="363">
        <f t="shared" ref="DQ5:EC5" si="7">SUM(DQ6:DQ29)</f>
        <v>25000</v>
      </c>
      <c r="DR5" s="363">
        <f t="shared" si="7"/>
        <v>25000</v>
      </c>
      <c r="DS5" s="363">
        <f t="shared" si="7"/>
        <v>25000</v>
      </c>
      <c r="DT5" s="363">
        <f t="shared" si="7"/>
        <v>25000</v>
      </c>
      <c r="DU5" s="363">
        <f t="shared" si="7"/>
        <v>25000</v>
      </c>
      <c r="DV5" s="363">
        <f t="shared" si="7"/>
        <v>25000</v>
      </c>
      <c r="DW5" s="363">
        <f t="shared" si="7"/>
        <v>25000</v>
      </c>
      <c r="DX5" s="363">
        <f t="shared" si="7"/>
        <v>25000</v>
      </c>
      <c r="DY5" s="363">
        <f t="shared" si="7"/>
        <v>25000</v>
      </c>
      <c r="DZ5" s="363">
        <f t="shared" si="7"/>
        <v>25000</v>
      </c>
      <c r="EA5" s="363">
        <f t="shared" si="7"/>
        <v>25000</v>
      </c>
      <c r="EB5" s="363">
        <f t="shared" si="7"/>
        <v>25000</v>
      </c>
      <c r="EC5" s="19">
        <f t="shared" si="7"/>
        <v>300000</v>
      </c>
      <c r="ED5" s="10"/>
      <c r="EE5" s="363">
        <f t="shared" ref="EE5:EQ5" si="8">SUM(EE6:EE29)</f>
        <v>1199853.6499999997</v>
      </c>
      <c r="EF5" s="363">
        <f t="shared" si="8"/>
        <v>1197433.6499999997</v>
      </c>
      <c r="EG5" s="363">
        <f t="shared" si="8"/>
        <v>1198643.6499999997</v>
      </c>
      <c r="EH5" s="363">
        <f t="shared" si="8"/>
        <v>1197433.6499999997</v>
      </c>
      <c r="EI5" s="363">
        <f t="shared" si="8"/>
        <v>1198643.6499999997</v>
      </c>
      <c r="EJ5" s="363">
        <f t="shared" si="8"/>
        <v>1198643.6499999997</v>
      </c>
      <c r="EK5" s="363">
        <f t="shared" si="8"/>
        <v>1197433.6499999997</v>
      </c>
      <c r="EL5" s="363">
        <f t="shared" si="8"/>
        <v>1201063.6499999997</v>
      </c>
      <c r="EM5" s="363">
        <f t="shared" si="8"/>
        <v>1196223.6499999997</v>
      </c>
      <c r="EN5" s="363">
        <f t="shared" si="8"/>
        <v>1201063.6499999997</v>
      </c>
      <c r="EO5" s="363">
        <f t="shared" si="8"/>
        <v>1199853.6499999997</v>
      </c>
      <c r="EP5" s="363">
        <f t="shared" si="8"/>
        <v>1195013.6499999997</v>
      </c>
      <c r="EQ5" s="19">
        <f t="shared" si="8"/>
        <v>14381303.800000004</v>
      </c>
    </row>
    <row r="6" spans="1:147" s="364" customFormat="1" outlineLevel="1">
      <c r="A6" s="364">
        <f t="shared" ref="A6:A29" si="9">SUM(B6:E6)</f>
        <v>820400</v>
      </c>
      <c r="B6" s="364">
        <f t="shared" ref="B6:B29" si="10">SUM(AI6,AW6,BK6,BY6,CM6)</f>
        <v>804000</v>
      </c>
      <c r="C6" s="364">
        <f t="shared" ref="C6:C29" si="11">DA6</f>
        <v>0</v>
      </c>
      <c r="D6" s="364">
        <f t="shared" ref="D6:D29" si="12">DO6</f>
        <v>16399.999999999996</v>
      </c>
      <c r="E6" s="364">
        <f t="shared" ref="E6:E29" si="13">EC6</f>
        <v>0</v>
      </c>
      <c r="F6" s="365">
        <v>40000</v>
      </c>
      <c r="G6" s="366">
        <v>111</v>
      </c>
      <c r="H6" s="366">
        <v>1100</v>
      </c>
      <c r="I6" s="367" t="s">
        <v>149</v>
      </c>
      <c r="J6" s="366">
        <v>1</v>
      </c>
      <c r="K6" s="366" t="s">
        <v>144</v>
      </c>
      <c r="L6" s="366" t="s">
        <v>145</v>
      </c>
      <c r="M6" s="368" t="s">
        <v>149</v>
      </c>
      <c r="N6" s="381"/>
      <c r="O6" s="381"/>
      <c r="P6" s="126">
        <v>50000</v>
      </c>
      <c r="Q6" s="126">
        <f>P6*S6</f>
        <v>0</v>
      </c>
      <c r="R6" s="126">
        <f>Q6+P6</f>
        <v>50000</v>
      </c>
      <c r="S6" s="369">
        <v>0</v>
      </c>
      <c r="T6" s="370"/>
      <c r="U6" s="25"/>
      <c r="V6" s="382"/>
      <c r="W6" s="25">
        <f t="shared" ref="W6:AH29" si="14">$P6</f>
        <v>50000</v>
      </c>
      <c r="X6" s="25">
        <f t="shared" si="14"/>
        <v>50000</v>
      </c>
      <c r="Y6" s="25">
        <f t="shared" si="14"/>
        <v>50000</v>
      </c>
      <c r="Z6" s="25">
        <f t="shared" si="14"/>
        <v>50000</v>
      </c>
      <c r="AA6" s="25">
        <f t="shared" si="14"/>
        <v>50000</v>
      </c>
      <c r="AB6" s="25">
        <f t="shared" si="14"/>
        <v>50000</v>
      </c>
      <c r="AC6" s="25">
        <f t="shared" si="14"/>
        <v>50000</v>
      </c>
      <c r="AD6" s="25">
        <f t="shared" si="14"/>
        <v>50000</v>
      </c>
      <c r="AE6" s="25">
        <f t="shared" si="14"/>
        <v>50000</v>
      </c>
      <c r="AF6" s="25">
        <f t="shared" si="14"/>
        <v>50000</v>
      </c>
      <c r="AG6" s="25">
        <f t="shared" si="14"/>
        <v>50000</v>
      </c>
      <c r="AH6" s="25">
        <f t="shared" si="14"/>
        <v>50000</v>
      </c>
      <c r="AI6" s="25">
        <f t="shared" ref="AI6:AI29" si="15">SUM(W6:AH6)</f>
        <v>600000</v>
      </c>
      <c r="AJ6" s="10"/>
      <c r="AK6" s="25">
        <f t="shared" ref="AK6:AK29" si="16">W6*$S6</f>
        <v>0</v>
      </c>
      <c r="AL6" s="25">
        <f t="shared" ref="AL6:AL29" si="17">X6*$S6</f>
        <v>0</v>
      </c>
      <c r="AM6" s="25">
        <f t="shared" ref="AM6:AM29" si="18">Y6*$S6</f>
        <v>0</v>
      </c>
      <c r="AN6" s="25">
        <f t="shared" ref="AN6:AN29" si="19">Z6*$S6</f>
        <v>0</v>
      </c>
      <c r="AO6" s="25">
        <f t="shared" ref="AO6:AO29" si="20">AA6*$S6</f>
        <v>0</v>
      </c>
      <c r="AP6" s="25">
        <f t="shared" ref="AP6:AP29" si="21">AB6*$S6</f>
        <v>0</v>
      </c>
      <c r="AQ6" s="25">
        <f t="shared" ref="AQ6:AQ29" si="22">AC6*$S6</f>
        <v>0</v>
      </c>
      <c r="AR6" s="25">
        <f t="shared" ref="AR6:AR29" si="23">AD6*$S6</f>
        <v>0</v>
      </c>
      <c r="AS6" s="25">
        <f t="shared" ref="AS6:AS29" si="24">AE6*$S6</f>
        <v>0</v>
      </c>
      <c r="AT6" s="25">
        <f t="shared" ref="AT6:AT29" si="25">AF6*$S6</f>
        <v>0</v>
      </c>
      <c r="AU6" s="25">
        <f t="shared" ref="AU6:AU29" si="26">AG6*$S6</f>
        <v>0</v>
      </c>
      <c r="AV6" s="25">
        <f t="shared" ref="AV6:AV29" si="27">AH6*$S6</f>
        <v>0</v>
      </c>
      <c r="AW6" s="25">
        <f t="shared" ref="AW6:AW29" si="28">SUM(AK6:AV6)</f>
        <v>0</v>
      </c>
      <c r="AX6" s="10"/>
      <c r="AY6" s="25">
        <v>0</v>
      </c>
      <c r="AZ6" s="25">
        <v>0</v>
      </c>
      <c r="BA6" s="25">
        <v>0</v>
      </c>
      <c r="BB6" s="25">
        <v>0</v>
      </c>
      <c r="BC6" s="25">
        <v>0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0</v>
      </c>
      <c r="BJ6" s="25">
        <v>0</v>
      </c>
      <c r="BK6" s="25">
        <f t="shared" ref="BK6:BK30" si="29">SUM(AY6:BJ6)</f>
        <v>0</v>
      </c>
      <c r="BL6" s="10"/>
      <c r="BM6" s="25">
        <f t="shared" ref="BM6:BM29" si="30">SUM(W6,AK6)*25%</f>
        <v>12500</v>
      </c>
      <c r="BN6" s="25">
        <f t="shared" ref="BN6:BN29" si="31">SUM(X6,AL6)*25%</f>
        <v>12500</v>
      </c>
      <c r="BO6" s="25">
        <f t="shared" ref="BO6:BO29" si="32">SUM(Y6,AM6)*25%</f>
        <v>12500</v>
      </c>
      <c r="BP6" s="25">
        <f t="shared" ref="BP6:BP29" si="33">SUM(Z6,AN6)*25%</f>
        <v>12500</v>
      </c>
      <c r="BQ6" s="25">
        <f t="shared" ref="BQ6:BQ29" si="34">SUM(AA6,AO6)*25%</f>
        <v>12500</v>
      </c>
      <c r="BR6" s="25">
        <f t="shared" ref="BR6:BR29" si="35">SUM(AB6,AP6)*25%</f>
        <v>12500</v>
      </c>
      <c r="BS6" s="25">
        <f t="shared" ref="BS6:BS29" si="36">SUM(AC6,AQ6)*25%</f>
        <v>12500</v>
      </c>
      <c r="BT6" s="25">
        <f t="shared" ref="BT6:BT29" si="37">SUM(AD6,AR6)*25%</f>
        <v>12500</v>
      </c>
      <c r="BU6" s="25">
        <f t="shared" ref="BU6:BU29" si="38">SUM(AE6,AS6)*25%</f>
        <v>12500</v>
      </c>
      <c r="BV6" s="25">
        <f t="shared" ref="BV6:BV29" si="39">SUM(AF6,AT6)*25%</f>
        <v>12500</v>
      </c>
      <c r="BW6" s="25">
        <f t="shared" ref="BW6:BW29" si="40">SUM(AG6,AU6)*25%</f>
        <v>12500</v>
      </c>
      <c r="BX6" s="25">
        <f t="shared" ref="BX6:BX29" si="41">SUM(AH6,AV6)*25%</f>
        <v>12500</v>
      </c>
      <c r="BY6" s="25">
        <f t="shared" ref="BY6:BY29" si="42">SUM(BM6:BX6)</f>
        <v>150000</v>
      </c>
      <c r="BZ6" s="10"/>
      <c r="CA6" s="25">
        <f t="shared" ref="CA6:CA29" si="43">SUM(W6,AK6)*9%</f>
        <v>4500</v>
      </c>
      <c r="CB6" s="25">
        <f t="shared" ref="CB6:CB29" si="44">SUM(X6,AL6)*9%</f>
        <v>4500</v>
      </c>
      <c r="CC6" s="25">
        <f t="shared" ref="CC6:CC29" si="45">SUM(Y6,AM6)*9%</f>
        <v>4500</v>
      </c>
      <c r="CD6" s="25">
        <f t="shared" ref="CD6:CD29" si="46">SUM(Z6,AN6)*9%</f>
        <v>4500</v>
      </c>
      <c r="CE6" s="25">
        <f t="shared" ref="CE6:CE29" si="47">SUM(AA6,AO6)*9%</f>
        <v>4500</v>
      </c>
      <c r="CF6" s="25">
        <f t="shared" ref="CF6:CF29" si="48">SUM(AB6,AP6)*9%</f>
        <v>4500</v>
      </c>
      <c r="CG6" s="25">
        <f t="shared" ref="CG6:CG29" si="49">SUM(AC6,AQ6)*9%</f>
        <v>4500</v>
      </c>
      <c r="CH6" s="25">
        <f t="shared" ref="CH6:CH29" si="50">SUM(AD6,AR6)*9%</f>
        <v>4500</v>
      </c>
      <c r="CI6" s="25">
        <f t="shared" ref="CI6:CI29" si="51">SUM(AE6,AS6)*9%</f>
        <v>4500</v>
      </c>
      <c r="CJ6" s="25">
        <f t="shared" ref="CJ6:CJ29" si="52">SUM(AF6,AT6)*9%</f>
        <v>4500</v>
      </c>
      <c r="CK6" s="25">
        <f t="shared" ref="CK6:CK29" si="53">SUM(AG6,AU6)*9%</f>
        <v>4500</v>
      </c>
      <c r="CL6" s="25">
        <f t="shared" ref="CL6:CL29" si="54">SUM(AH6,AV6)*9%</f>
        <v>4500</v>
      </c>
      <c r="CM6" s="25">
        <f t="shared" ref="CM6:CM29" si="55">SUM(CA6:CL6)</f>
        <v>54000</v>
      </c>
      <c r="CN6" s="10"/>
      <c r="CO6" s="25"/>
      <c r="CP6" s="25"/>
      <c r="CQ6" s="25"/>
      <c r="CR6" s="25"/>
      <c r="CS6" s="25">
        <f t="shared" ref="CS6:CS14" si="56">$U6/2</f>
        <v>0</v>
      </c>
      <c r="CT6" s="25"/>
      <c r="CU6" s="25"/>
      <c r="CV6" s="25"/>
      <c r="CW6" s="25"/>
      <c r="CX6" s="25"/>
      <c r="CY6" s="25">
        <f t="shared" ref="CY6:CY14" si="57">$U6/2</f>
        <v>0</v>
      </c>
      <c r="CZ6" s="25"/>
      <c r="DA6" s="25">
        <f t="shared" ref="DA6:DA29" si="58">SUM(CO6:CZ6)</f>
        <v>0</v>
      </c>
      <c r="DB6" s="10"/>
      <c r="DC6" s="25">
        <v>1366.6666666666667</v>
      </c>
      <c r="DD6" s="25">
        <v>1366.6666666666667</v>
      </c>
      <c r="DE6" s="25">
        <v>1366.6666666666667</v>
      </c>
      <c r="DF6" s="25">
        <v>1366.6666666666667</v>
      </c>
      <c r="DG6" s="25">
        <v>1366.6666666666667</v>
      </c>
      <c r="DH6" s="25">
        <v>1366.6666666666667</v>
      </c>
      <c r="DI6" s="25">
        <v>1366.6666666666667</v>
      </c>
      <c r="DJ6" s="25">
        <v>1366.6666666666667</v>
      </c>
      <c r="DK6" s="25">
        <v>1366.6666666666667</v>
      </c>
      <c r="DL6" s="25">
        <v>1366.6666666666667</v>
      </c>
      <c r="DM6" s="25">
        <v>1366.6666666666667</v>
      </c>
      <c r="DN6" s="25">
        <v>1366.6666666666667</v>
      </c>
      <c r="DO6" s="25">
        <f t="shared" ref="DO6:DO29" si="59">SUM(DC6:DN6)</f>
        <v>16399.999999999996</v>
      </c>
      <c r="DP6" s="10"/>
      <c r="DQ6" s="25">
        <f t="shared" ref="DQ6:EB29" si="60">$T6*(1+$S6)</f>
        <v>0</v>
      </c>
      <c r="DR6" s="25">
        <f t="shared" si="60"/>
        <v>0</v>
      </c>
      <c r="DS6" s="25">
        <f t="shared" si="60"/>
        <v>0</v>
      </c>
      <c r="DT6" s="25">
        <f t="shared" si="60"/>
        <v>0</v>
      </c>
      <c r="DU6" s="25">
        <f t="shared" si="60"/>
        <v>0</v>
      </c>
      <c r="DV6" s="25">
        <f t="shared" si="60"/>
        <v>0</v>
      </c>
      <c r="DW6" s="25">
        <f t="shared" si="60"/>
        <v>0</v>
      </c>
      <c r="DX6" s="25">
        <f t="shared" si="60"/>
        <v>0</v>
      </c>
      <c r="DY6" s="25">
        <f t="shared" si="60"/>
        <v>0</v>
      </c>
      <c r="DZ6" s="25">
        <f t="shared" si="60"/>
        <v>0</v>
      </c>
      <c r="EA6" s="25">
        <f t="shared" si="60"/>
        <v>0</v>
      </c>
      <c r="EB6" s="25">
        <f t="shared" si="60"/>
        <v>0</v>
      </c>
      <c r="EC6" s="25">
        <f t="shared" ref="EC6:EC29" si="61">SUM(DQ6:EB6)</f>
        <v>0</v>
      </c>
      <c r="ED6" s="10"/>
      <c r="EE6" s="25">
        <f t="shared" ref="EE6:EE29" si="62">SUM(W6,AK6,AY6,BM6,CA6)</f>
        <v>67000</v>
      </c>
      <c r="EF6" s="25">
        <f t="shared" ref="EF6:EF29" si="63">SUM(X6,AL6,AZ6,BN6,CB6)</f>
        <v>67000</v>
      </c>
      <c r="EG6" s="25">
        <f t="shared" ref="EG6:EG29" si="64">SUM(Y6,AM6,BA6,BO6,CC6)</f>
        <v>67000</v>
      </c>
      <c r="EH6" s="25">
        <f t="shared" ref="EH6:EH29" si="65">SUM(Z6,AN6,BB6,BP6,CD6)</f>
        <v>67000</v>
      </c>
      <c r="EI6" s="25">
        <f t="shared" ref="EI6:EI29" si="66">SUM(AA6,AO6,BC6,BQ6,CE6)</f>
        <v>67000</v>
      </c>
      <c r="EJ6" s="25">
        <f t="shared" ref="EJ6:EJ29" si="67">SUM(AB6,AP6,BD6,BR6,CF6)</f>
        <v>67000</v>
      </c>
      <c r="EK6" s="25">
        <f t="shared" ref="EK6:EK29" si="68">SUM(AC6,AQ6,BE6,BS6,CG6)</f>
        <v>67000</v>
      </c>
      <c r="EL6" s="25">
        <f t="shared" ref="EL6:EL29" si="69">SUM(AD6,AR6,BF6,BT6,CH6)</f>
        <v>67000</v>
      </c>
      <c r="EM6" s="25">
        <f t="shared" ref="EM6:EM29" si="70">SUM(AE6,AS6,BG6,BU6,CI6)</f>
        <v>67000</v>
      </c>
      <c r="EN6" s="25">
        <f t="shared" ref="EN6:EN29" si="71">SUM(AF6,AT6,BH6,BV6,CJ6)</f>
        <v>67000</v>
      </c>
      <c r="EO6" s="25">
        <f t="shared" ref="EO6:EO29" si="72">SUM(AG6,AU6,BI6,BW6,CK6)</f>
        <v>67000</v>
      </c>
      <c r="EP6" s="25">
        <f t="shared" ref="EP6:EP29" si="73">SUM(AH6,AV6,BJ6,BX6,CL6)</f>
        <v>67000</v>
      </c>
      <c r="EQ6" s="25">
        <f t="shared" ref="EQ6:EQ29" si="74">SUM(EE6:EP6)</f>
        <v>804000</v>
      </c>
    </row>
    <row r="7" spans="1:147" s="364" customFormat="1" outlineLevel="1">
      <c r="A7" s="364">
        <f t="shared" si="9"/>
        <v>300000</v>
      </c>
      <c r="B7" s="364">
        <f t="shared" si="10"/>
        <v>0</v>
      </c>
      <c r="C7" s="364">
        <f t="shared" si="11"/>
        <v>0</v>
      </c>
      <c r="D7" s="364">
        <f t="shared" si="12"/>
        <v>0</v>
      </c>
      <c r="E7" s="364">
        <f t="shared" si="13"/>
        <v>300000</v>
      </c>
      <c r="F7" s="365"/>
      <c r="G7" s="366">
        <v>117</v>
      </c>
      <c r="H7" s="366">
        <v>3100</v>
      </c>
      <c r="I7" s="367" t="s">
        <v>63</v>
      </c>
      <c r="J7" s="366">
        <v>1</v>
      </c>
      <c r="K7" s="366" t="s">
        <v>55</v>
      </c>
      <c r="L7" s="366" t="s">
        <v>145</v>
      </c>
      <c r="M7" s="372" t="s">
        <v>163</v>
      </c>
      <c r="N7" s="381"/>
      <c r="O7" s="381"/>
      <c r="P7" s="381"/>
      <c r="Q7" s="381"/>
      <c r="R7" s="381"/>
      <c r="S7" s="369">
        <v>0.1</v>
      </c>
      <c r="T7" s="370">
        <f>25000*J7/(1+S7)</f>
        <v>22727.272727272724</v>
      </c>
      <c r="U7" s="25"/>
      <c r="V7" s="382"/>
      <c r="W7" s="25">
        <f t="shared" si="14"/>
        <v>0</v>
      </c>
      <c r="X7" s="25">
        <f t="shared" si="14"/>
        <v>0</v>
      </c>
      <c r="Y7" s="25">
        <f t="shared" si="14"/>
        <v>0</v>
      </c>
      <c r="Z7" s="25">
        <f t="shared" si="14"/>
        <v>0</v>
      </c>
      <c r="AA7" s="25">
        <f t="shared" si="14"/>
        <v>0</v>
      </c>
      <c r="AB7" s="25">
        <f t="shared" si="14"/>
        <v>0</v>
      </c>
      <c r="AC7" s="25">
        <f t="shared" si="14"/>
        <v>0</v>
      </c>
      <c r="AD7" s="25">
        <f t="shared" si="14"/>
        <v>0</v>
      </c>
      <c r="AE7" s="25">
        <f t="shared" si="14"/>
        <v>0</v>
      </c>
      <c r="AF7" s="25">
        <f t="shared" si="14"/>
        <v>0</v>
      </c>
      <c r="AG7" s="25">
        <f t="shared" si="14"/>
        <v>0</v>
      </c>
      <c r="AH7" s="25">
        <f t="shared" si="14"/>
        <v>0</v>
      </c>
      <c r="AI7" s="25">
        <f t="shared" si="15"/>
        <v>0</v>
      </c>
      <c r="AJ7" s="10"/>
      <c r="AK7" s="25">
        <f t="shared" si="16"/>
        <v>0</v>
      </c>
      <c r="AL7" s="25">
        <f t="shared" si="17"/>
        <v>0</v>
      </c>
      <c r="AM7" s="25">
        <f t="shared" si="18"/>
        <v>0</v>
      </c>
      <c r="AN7" s="25">
        <f t="shared" si="19"/>
        <v>0</v>
      </c>
      <c r="AO7" s="25">
        <f t="shared" si="20"/>
        <v>0</v>
      </c>
      <c r="AP7" s="25">
        <f t="shared" si="21"/>
        <v>0</v>
      </c>
      <c r="AQ7" s="25">
        <f t="shared" si="22"/>
        <v>0</v>
      </c>
      <c r="AR7" s="25">
        <f t="shared" si="23"/>
        <v>0</v>
      </c>
      <c r="AS7" s="25">
        <f t="shared" si="24"/>
        <v>0</v>
      </c>
      <c r="AT7" s="25">
        <f t="shared" si="25"/>
        <v>0</v>
      </c>
      <c r="AU7" s="25">
        <f t="shared" si="26"/>
        <v>0</v>
      </c>
      <c r="AV7" s="25">
        <f t="shared" si="27"/>
        <v>0</v>
      </c>
      <c r="AW7" s="25">
        <f t="shared" si="28"/>
        <v>0</v>
      </c>
      <c r="AX7" s="10"/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f t="shared" si="29"/>
        <v>0</v>
      </c>
      <c r="BL7" s="10"/>
      <c r="BM7" s="25">
        <f t="shared" si="30"/>
        <v>0</v>
      </c>
      <c r="BN7" s="25">
        <f t="shared" si="31"/>
        <v>0</v>
      </c>
      <c r="BO7" s="25">
        <f t="shared" si="32"/>
        <v>0</v>
      </c>
      <c r="BP7" s="25">
        <f t="shared" si="33"/>
        <v>0</v>
      </c>
      <c r="BQ7" s="25">
        <f t="shared" si="34"/>
        <v>0</v>
      </c>
      <c r="BR7" s="25">
        <f t="shared" si="35"/>
        <v>0</v>
      </c>
      <c r="BS7" s="25">
        <f t="shared" si="36"/>
        <v>0</v>
      </c>
      <c r="BT7" s="25">
        <f t="shared" si="37"/>
        <v>0</v>
      </c>
      <c r="BU7" s="25">
        <f t="shared" si="38"/>
        <v>0</v>
      </c>
      <c r="BV7" s="25">
        <f t="shared" si="39"/>
        <v>0</v>
      </c>
      <c r="BW7" s="25">
        <f t="shared" si="40"/>
        <v>0</v>
      </c>
      <c r="BX7" s="25">
        <f t="shared" si="41"/>
        <v>0</v>
      </c>
      <c r="BY7" s="25">
        <f t="shared" si="42"/>
        <v>0</v>
      </c>
      <c r="BZ7" s="10"/>
      <c r="CA7" s="25">
        <f t="shared" si="43"/>
        <v>0</v>
      </c>
      <c r="CB7" s="25">
        <f t="shared" si="44"/>
        <v>0</v>
      </c>
      <c r="CC7" s="25">
        <f t="shared" si="45"/>
        <v>0</v>
      </c>
      <c r="CD7" s="25">
        <f t="shared" si="46"/>
        <v>0</v>
      </c>
      <c r="CE7" s="25">
        <f t="shared" si="47"/>
        <v>0</v>
      </c>
      <c r="CF7" s="25">
        <f t="shared" si="48"/>
        <v>0</v>
      </c>
      <c r="CG7" s="25">
        <f t="shared" si="49"/>
        <v>0</v>
      </c>
      <c r="CH7" s="25">
        <f t="shared" si="50"/>
        <v>0</v>
      </c>
      <c r="CI7" s="25">
        <f t="shared" si="51"/>
        <v>0</v>
      </c>
      <c r="CJ7" s="25">
        <f t="shared" si="52"/>
        <v>0</v>
      </c>
      <c r="CK7" s="25">
        <f t="shared" si="53"/>
        <v>0</v>
      </c>
      <c r="CL7" s="25">
        <f t="shared" si="54"/>
        <v>0</v>
      </c>
      <c r="CM7" s="25">
        <f t="shared" si="55"/>
        <v>0</v>
      </c>
      <c r="CN7" s="10"/>
      <c r="CO7" s="25"/>
      <c r="CP7" s="25"/>
      <c r="CQ7" s="25"/>
      <c r="CR7" s="25"/>
      <c r="CS7" s="25">
        <f t="shared" si="56"/>
        <v>0</v>
      </c>
      <c r="CT7" s="25"/>
      <c r="CU7" s="25"/>
      <c r="CV7" s="25"/>
      <c r="CW7" s="25"/>
      <c r="CX7" s="25"/>
      <c r="CY7" s="25">
        <f t="shared" si="57"/>
        <v>0</v>
      </c>
      <c r="CZ7" s="25"/>
      <c r="DA7" s="25">
        <f t="shared" si="58"/>
        <v>0</v>
      </c>
      <c r="DB7" s="10"/>
      <c r="DC7" s="25">
        <v>0</v>
      </c>
      <c r="DD7" s="25">
        <v>0</v>
      </c>
      <c r="DE7" s="25">
        <v>0</v>
      </c>
      <c r="DF7" s="25">
        <v>0</v>
      </c>
      <c r="DG7" s="25">
        <v>0</v>
      </c>
      <c r="DH7" s="25">
        <v>0</v>
      </c>
      <c r="DI7" s="25">
        <v>0</v>
      </c>
      <c r="DJ7" s="25">
        <v>0</v>
      </c>
      <c r="DK7" s="25">
        <v>0</v>
      </c>
      <c r="DL7" s="25">
        <v>0</v>
      </c>
      <c r="DM7" s="25">
        <v>0</v>
      </c>
      <c r="DN7" s="25">
        <v>0</v>
      </c>
      <c r="DO7" s="25">
        <f t="shared" si="59"/>
        <v>0</v>
      </c>
      <c r="DP7" s="10"/>
      <c r="DQ7" s="25">
        <f t="shared" si="60"/>
        <v>25000</v>
      </c>
      <c r="DR7" s="25">
        <f t="shared" si="60"/>
        <v>25000</v>
      </c>
      <c r="DS7" s="25">
        <f t="shared" si="60"/>
        <v>25000</v>
      </c>
      <c r="DT7" s="25">
        <f t="shared" si="60"/>
        <v>25000</v>
      </c>
      <c r="DU7" s="25">
        <f t="shared" si="60"/>
        <v>25000</v>
      </c>
      <c r="DV7" s="25">
        <f t="shared" si="60"/>
        <v>25000</v>
      </c>
      <c r="DW7" s="25">
        <f t="shared" si="60"/>
        <v>25000</v>
      </c>
      <c r="DX7" s="25">
        <f t="shared" si="60"/>
        <v>25000</v>
      </c>
      <c r="DY7" s="25">
        <f t="shared" si="60"/>
        <v>25000</v>
      </c>
      <c r="DZ7" s="25">
        <f t="shared" si="60"/>
        <v>25000</v>
      </c>
      <c r="EA7" s="25">
        <f t="shared" si="60"/>
        <v>25000</v>
      </c>
      <c r="EB7" s="25">
        <f t="shared" si="60"/>
        <v>25000</v>
      </c>
      <c r="EC7" s="25">
        <f t="shared" si="61"/>
        <v>300000</v>
      </c>
      <c r="ED7" s="10"/>
      <c r="EE7" s="25">
        <f t="shared" si="62"/>
        <v>0</v>
      </c>
      <c r="EF7" s="25">
        <f t="shared" si="63"/>
        <v>0</v>
      </c>
      <c r="EG7" s="25">
        <f t="shared" si="64"/>
        <v>0</v>
      </c>
      <c r="EH7" s="25">
        <f t="shared" si="65"/>
        <v>0</v>
      </c>
      <c r="EI7" s="25">
        <f t="shared" si="66"/>
        <v>0</v>
      </c>
      <c r="EJ7" s="25">
        <f t="shared" si="67"/>
        <v>0</v>
      </c>
      <c r="EK7" s="25">
        <f t="shared" si="68"/>
        <v>0</v>
      </c>
      <c r="EL7" s="25">
        <f t="shared" si="69"/>
        <v>0</v>
      </c>
      <c r="EM7" s="25">
        <f t="shared" si="70"/>
        <v>0</v>
      </c>
      <c r="EN7" s="25">
        <f t="shared" si="71"/>
        <v>0</v>
      </c>
      <c r="EO7" s="25">
        <f t="shared" si="72"/>
        <v>0</v>
      </c>
      <c r="EP7" s="25">
        <f t="shared" si="73"/>
        <v>0</v>
      </c>
      <c r="EQ7" s="25">
        <f t="shared" si="74"/>
        <v>0</v>
      </c>
    </row>
    <row r="8" spans="1:147" s="364" customFormat="1" outlineLevel="1">
      <c r="A8" s="364">
        <f t="shared" si="9"/>
        <v>530702</v>
      </c>
      <c r="B8" s="364">
        <f t="shared" si="10"/>
        <v>526702</v>
      </c>
      <c r="C8" s="364">
        <f t="shared" si="11"/>
        <v>0</v>
      </c>
      <c r="D8" s="364">
        <f t="shared" si="12"/>
        <v>4000.0000000000005</v>
      </c>
      <c r="E8" s="364">
        <f t="shared" si="13"/>
        <v>0</v>
      </c>
      <c r="F8" s="365">
        <v>29000</v>
      </c>
      <c r="G8" s="366">
        <v>119</v>
      </c>
      <c r="H8" s="366">
        <v>3100</v>
      </c>
      <c r="I8" s="367" t="s">
        <v>63</v>
      </c>
      <c r="J8" s="366">
        <v>1</v>
      </c>
      <c r="K8" s="366" t="s">
        <v>144</v>
      </c>
      <c r="L8" s="366" t="s">
        <v>145</v>
      </c>
      <c r="M8" s="368" t="s">
        <v>395</v>
      </c>
      <c r="N8" s="381"/>
      <c r="O8" s="381"/>
      <c r="P8" s="126">
        <v>29000</v>
      </c>
      <c r="Q8" s="126">
        <f t="shared" ref="Q8:Q29" si="75">P8*S8</f>
        <v>2900</v>
      </c>
      <c r="R8" s="126">
        <f t="shared" ref="R8:R29" si="76">Q8+P8</f>
        <v>31900</v>
      </c>
      <c r="S8" s="369">
        <v>0.1</v>
      </c>
      <c r="T8" s="370"/>
      <c r="U8" s="25"/>
      <c r="V8" s="382"/>
      <c r="W8" s="25">
        <f t="shared" si="14"/>
        <v>29000</v>
      </c>
      <c r="X8" s="25">
        <f t="shared" si="14"/>
        <v>29000</v>
      </c>
      <c r="Y8" s="25">
        <f t="shared" si="14"/>
        <v>29000</v>
      </c>
      <c r="Z8" s="25">
        <f t="shared" si="14"/>
        <v>29000</v>
      </c>
      <c r="AA8" s="25">
        <f t="shared" si="14"/>
        <v>29000</v>
      </c>
      <c r="AB8" s="25">
        <f t="shared" si="14"/>
        <v>29000</v>
      </c>
      <c r="AC8" s="25">
        <f t="shared" si="14"/>
        <v>29000</v>
      </c>
      <c r="AD8" s="25">
        <f t="shared" si="14"/>
        <v>29000</v>
      </c>
      <c r="AE8" s="25">
        <f t="shared" si="14"/>
        <v>29000</v>
      </c>
      <c r="AF8" s="25">
        <f t="shared" si="14"/>
        <v>29000</v>
      </c>
      <c r="AG8" s="25">
        <f t="shared" si="14"/>
        <v>29000</v>
      </c>
      <c r="AH8" s="25">
        <f t="shared" si="14"/>
        <v>29000</v>
      </c>
      <c r="AI8" s="25">
        <f t="shared" si="15"/>
        <v>348000</v>
      </c>
      <c r="AJ8" s="10"/>
      <c r="AK8" s="25">
        <f t="shared" si="16"/>
        <v>2900</v>
      </c>
      <c r="AL8" s="25">
        <f t="shared" si="17"/>
        <v>2900</v>
      </c>
      <c r="AM8" s="25">
        <f t="shared" si="18"/>
        <v>2900</v>
      </c>
      <c r="AN8" s="25">
        <f t="shared" si="19"/>
        <v>2900</v>
      </c>
      <c r="AO8" s="25">
        <f t="shared" si="20"/>
        <v>2900</v>
      </c>
      <c r="AP8" s="25">
        <f t="shared" si="21"/>
        <v>2900</v>
      </c>
      <c r="AQ8" s="25">
        <f t="shared" si="22"/>
        <v>2900</v>
      </c>
      <c r="AR8" s="25">
        <f t="shared" si="23"/>
        <v>2900</v>
      </c>
      <c r="AS8" s="25">
        <f t="shared" si="24"/>
        <v>2900</v>
      </c>
      <c r="AT8" s="25">
        <f t="shared" si="25"/>
        <v>2900</v>
      </c>
      <c r="AU8" s="25">
        <f t="shared" si="26"/>
        <v>2900</v>
      </c>
      <c r="AV8" s="25">
        <f t="shared" si="27"/>
        <v>2900</v>
      </c>
      <c r="AW8" s="25">
        <f t="shared" si="28"/>
        <v>34800</v>
      </c>
      <c r="AX8" s="10"/>
      <c r="AY8" s="25">
        <f t="shared" ref="AY8:BJ17" si="77">55*AY$30*$J8</f>
        <v>1210</v>
      </c>
      <c r="AZ8" s="25">
        <f t="shared" si="77"/>
        <v>1100</v>
      </c>
      <c r="BA8" s="25">
        <f t="shared" si="77"/>
        <v>1155</v>
      </c>
      <c r="BB8" s="25">
        <f t="shared" si="77"/>
        <v>1100</v>
      </c>
      <c r="BC8" s="25">
        <f t="shared" si="77"/>
        <v>1155</v>
      </c>
      <c r="BD8" s="25">
        <f t="shared" si="77"/>
        <v>1155</v>
      </c>
      <c r="BE8" s="25">
        <f t="shared" si="77"/>
        <v>1100</v>
      </c>
      <c r="BF8" s="25">
        <f t="shared" si="77"/>
        <v>1265</v>
      </c>
      <c r="BG8" s="25">
        <f t="shared" si="77"/>
        <v>1045</v>
      </c>
      <c r="BH8" s="25">
        <f t="shared" si="77"/>
        <v>1265</v>
      </c>
      <c r="BI8" s="25">
        <f t="shared" si="77"/>
        <v>1210</v>
      </c>
      <c r="BJ8" s="25">
        <f t="shared" si="77"/>
        <v>990</v>
      </c>
      <c r="BK8" s="25">
        <f t="shared" si="29"/>
        <v>13750</v>
      </c>
      <c r="BL8" s="10"/>
      <c r="BM8" s="25">
        <f t="shared" si="30"/>
        <v>7975</v>
      </c>
      <c r="BN8" s="25">
        <f t="shared" si="31"/>
        <v>7975</v>
      </c>
      <c r="BO8" s="25">
        <f t="shared" si="32"/>
        <v>7975</v>
      </c>
      <c r="BP8" s="25">
        <f t="shared" si="33"/>
        <v>7975</v>
      </c>
      <c r="BQ8" s="25">
        <f t="shared" si="34"/>
        <v>7975</v>
      </c>
      <c r="BR8" s="25">
        <f t="shared" si="35"/>
        <v>7975</v>
      </c>
      <c r="BS8" s="25">
        <f t="shared" si="36"/>
        <v>7975</v>
      </c>
      <c r="BT8" s="25">
        <f t="shared" si="37"/>
        <v>7975</v>
      </c>
      <c r="BU8" s="25">
        <f t="shared" si="38"/>
        <v>7975</v>
      </c>
      <c r="BV8" s="25">
        <f t="shared" si="39"/>
        <v>7975</v>
      </c>
      <c r="BW8" s="25">
        <f t="shared" si="40"/>
        <v>7975</v>
      </c>
      <c r="BX8" s="25">
        <f t="shared" si="41"/>
        <v>7975</v>
      </c>
      <c r="BY8" s="25">
        <f t="shared" si="42"/>
        <v>95700</v>
      </c>
      <c r="BZ8" s="10"/>
      <c r="CA8" s="25">
        <f t="shared" si="43"/>
        <v>2871</v>
      </c>
      <c r="CB8" s="25">
        <f t="shared" si="44"/>
        <v>2871</v>
      </c>
      <c r="CC8" s="25">
        <f t="shared" si="45"/>
        <v>2871</v>
      </c>
      <c r="CD8" s="25">
        <f t="shared" si="46"/>
        <v>2871</v>
      </c>
      <c r="CE8" s="25">
        <f t="shared" si="47"/>
        <v>2871</v>
      </c>
      <c r="CF8" s="25">
        <f t="shared" si="48"/>
        <v>2871</v>
      </c>
      <c r="CG8" s="25">
        <f t="shared" si="49"/>
        <v>2871</v>
      </c>
      <c r="CH8" s="25">
        <f t="shared" si="50"/>
        <v>2871</v>
      </c>
      <c r="CI8" s="25">
        <f t="shared" si="51"/>
        <v>2871</v>
      </c>
      <c r="CJ8" s="25">
        <f t="shared" si="52"/>
        <v>2871</v>
      </c>
      <c r="CK8" s="25">
        <f t="shared" si="53"/>
        <v>2871</v>
      </c>
      <c r="CL8" s="25">
        <f t="shared" si="54"/>
        <v>2871</v>
      </c>
      <c r="CM8" s="25">
        <f t="shared" si="55"/>
        <v>34452</v>
      </c>
      <c r="CN8" s="10"/>
      <c r="CO8" s="25"/>
      <c r="CP8" s="25"/>
      <c r="CQ8" s="25"/>
      <c r="CR8" s="25"/>
      <c r="CS8" s="25">
        <f t="shared" si="56"/>
        <v>0</v>
      </c>
      <c r="CT8" s="25"/>
      <c r="CU8" s="25"/>
      <c r="CV8" s="25"/>
      <c r="CW8" s="25"/>
      <c r="CX8" s="25"/>
      <c r="CY8" s="25">
        <f t="shared" si="57"/>
        <v>0</v>
      </c>
      <c r="CZ8" s="25"/>
      <c r="DA8" s="25">
        <f t="shared" si="58"/>
        <v>0</v>
      </c>
      <c r="DB8" s="10"/>
      <c r="DC8" s="25">
        <v>333.33333333333331</v>
      </c>
      <c r="DD8" s="25">
        <v>333.33333333333331</v>
      </c>
      <c r="DE8" s="25">
        <v>333.33333333333331</v>
      </c>
      <c r="DF8" s="25">
        <v>333.33333333333331</v>
      </c>
      <c r="DG8" s="25">
        <v>333.33333333333331</v>
      </c>
      <c r="DH8" s="25">
        <v>333.33333333333331</v>
      </c>
      <c r="DI8" s="25">
        <v>333.33333333333331</v>
      </c>
      <c r="DJ8" s="25">
        <v>333.33333333333331</v>
      </c>
      <c r="DK8" s="25">
        <v>333.33333333333331</v>
      </c>
      <c r="DL8" s="25">
        <v>333.33333333333331</v>
      </c>
      <c r="DM8" s="25">
        <v>333.33333333333331</v>
      </c>
      <c r="DN8" s="25">
        <v>333.33333333333331</v>
      </c>
      <c r="DO8" s="25">
        <f t="shared" si="59"/>
        <v>4000.0000000000005</v>
      </c>
      <c r="DP8" s="10"/>
      <c r="DQ8" s="25">
        <f t="shared" si="60"/>
        <v>0</v>
      </c>
      <c r="DR8" s="25">
        <f t="shared" si="60"/>
        <v>0</v>
      </c>
      <c r="DS8" s="25">
        <f t="shared" si="60"/>
        <v>0</v>
      </c>
      <c r="DT8" s="25">
        <f t="shared" si="60"/>
        <v>0</v>
      </c>
      <c r="DU8" s="25">
        <f t="shared" si="60"/>
        <v>0</v>
      </c>
      <c r="DV8" s="25">
        <f t="shared" si="60"/>
        <v>0</v>
      </c>
      <c r="DW8" s="25">
        <f t="shared" si="60"/>
        <v>0</v>
      </c>
      <c r="DX8" s="25">
        <f t="shared" si="60"/>
        <v>0</v>
      </c>
      <c r="DY8" s="25">
        <f t="shared" si="60"/>
        <v>0</v>
      </c>
      <c r="DZ8" s="25">
        <f t="shared" si="60"/>
        <v>0</v>
      </c>
      <c r="EA8" s="25">
        <f t="shared" si="60"/>
        <v>0</v>
      </c>
      <c r="EB8" s="25">
        <f t="shared" si="60"/>
        <v>0</v>
      </c>
      <c r="EC8" s="25">
        <f t="shared" si="61"/>
        <v>0</v>
      </c>
      <c r="ED8" s="10"/>
      <c r="EE8" s="25">
        <f t="shared" si="62"/>
        <v>43956</v>
      </c>
      <c r="EF8" s="25">
        <f t="shared" si="63"/>
        <v>43846</v>
      </c>
      <c r="EG8" s="25">
        <f t="shared" si="64"/>
        <v>43901</v>
      </c>
      <c r="EH8" s="25">
        <f t="shared" si="65"/>
        <v>43846</v>
      </c>
      <c r="EI8" s="25">
        <f t="shared" si="66"/>
        <v>43901</v>
      </c>
      <c r="EJ8" s="25">
        <f t="shared" si="67"/>
        <v>43901</v>
      </c>
      <c r="EK8" s="25">
        <f t="shared" si="68"/>
        <v>43846</v>
      </c>
      <c r="EL8" s="25">
        <f t="shared" si="69"/>
        <v>44011</v>
      </c>
      <c r="EM8" s="25">
        <f t="shared" si="70"/>
        <v>43791</v>
      </c>
      <c r="EN8" s="25">
        <f t="shared" si="71"/>
        <v>44011</v>
      </c>
      <c r="EO8" s="25">
        <f t="shared" si="72"/>
        <v>43956</v>
      </c>
      <c r="EP8" s="25">
        <f t="shared" si="73"/>
        <v>43736</v>
      </c>
      <c r="EQ8" s="25">
        <f t="shared" si="74"/>
        <v>526702</v>
      </c>
    </row>
    <row r="9" spans="1:147" s="364" customFormat="1" outlineLevel="1">
      <c r="A9" s="364">
        <f t="shared" si="9"/>
        <v>908206</v>
      </c>
      <c r="B9" s="364">
        <f t="shared" si="10"/>
        <v>869206</v>
      </c>
      <c r="C9" s="364">
        <f t="shared" si="11"/>
        <v>35000</v>
      </c>
      <c r="D9" s="364">
        <f t="shared" si="12"/>
        <v>4000.0000000000005</v>
      </c>
      <c r="E9" s="364">
        <f t="shared" si="13"/>
        <v>0</v>
      </c>
      <c r="F9" s="365">
        <v>40000</v>
      </c>
      <c r="G9" s="366">
        <v>121</v>
      </c>
      <c r="H9" s="366">
        <v>4100</v>
      </c>
      <c r="I9" s="367" t="s">
        <v>54</v>
      </c>
      <c r="J9" s="366">
        <v>1</v>
      </c>
      <c r="K9" s="366" t="s">
        <v>144</v>
      </c>
      <c r="L9" s="366" t="s">
        <v>145</v>
      </c>
      <c r="M9" s="368" t="s">
        <v>566</v>
      </c>
      <c r="N9" s="25">
        <f>(F9*1.1*12)/(52*O9*(1+S9))</f>
        <v>190.86176980913822</v>
      </c>
      <c r="O9" s="381">
        <v>40</v>
      </c>
      <c r="P9" s="126">
        <v>40000</v>
      </c>
      <c r="Q9" s="126">
        <f t="shared" si="75"/>
        <v>13200</v>
      </c>
      <c r="R9" s="126">
        <f t="shared" si="76"/>
        <v>53200</v>
      </c>
      <c r="S9" s="369">
        <v>0.33</v>
      </c>
      <c r="T9" s="370"/>
      <c r="U9" s="25">
        <v>35000</v>
      </c>
      <c r="V9" s="382"/>
      <c r="W9" s="25">
        <f t="shared" si="14"/>
        <v>40000</v>
      </c>
      <c r="X9" s="25">
        <f t="shared" si="14"/>
        <v>40000</v>
      </c>
      <c r="Y9" s="25">
        <f t="shared" si="14"/>
        <v>40000</v>
      </c>
      <c r="Z9" s="25">
        <f t="shared" si="14"/>
        <v>40000</v>
      </c>
      <c r="AA9" s="25">
        <f t="shared" si="14"/>
        <v>40000</v>
      </c>
      <c r="AB9" s="25">
        <f t="shared" si="14"/>
        <v>40000</v>
      </c>
      <c r="AC9" s="25">
        <f t="shared" si="14"/>
        <v>40000</v>
      </c>
      <c r="AD9" s="25">
        <f t="shared" si="14"/>
        <v>40000</v>
      </c>
      <c r="AE9" s="25">
        <f t="shared" si="14"/>
        <v>40000</v>
      </c>
      <c r="AF9" s="25">
        <f t="shared" si="14"/>
        <v>40000</v>
      </c>
      <c r="AG9" s="25">
        <f t="shared" si="14"/>
        <v>40000</v>
      </c>
      <c r="AH9" s="25">
        <f t="shared" si="14"/>
        <v>40000</v>
      </c>
      <c r="AI9" s="25">
        <f t="shared" si="15"/>
        <v>480000</v>
      </c>
      <c r="AJ9" s="10"/>
      <c r="AK9" s="25">
        <f t="shared" si="16"/>
        <v>13200</v>
      </c>
      <c r="AL9" s="25">
        <f t="shared" si="17"/>
        <v>13200</v>
      </c>
      <c r="AM9" s="25">
        <f t="shared" si="18"/>
        <v>13200</v>
      </c>
      <c r="AN9" s="25">
        <f t="shared" si="19"/>
        <v>13200</v>
      </c>
      <c r="AO9" s="25">
        <f t="shared" si="20"/>
        <v>13200</v>
      </c>
      <c r="AP9" s="25">
        <f t="shared" si="21"/>
        <v>13200</v>
      </c>
      <c r="AQ9" s="25">
        <f t="shared" si="22"/>
        <v>13200</v>
      </c>
      <c r="AR9" s="25">
        <f t="shared" si="23"/>
        <v>13200</v>
      </c>
      <c r="AS9" s="25">
        <f t="shared" si="24"/>
        <v>13200</v>
      </c>
      <c r="AT9" s="25">
        <f t="shared" si="25"/>
        <v>13200</v>
      </c>
      <c r="AU9" s="25">
        <f t="shared" si="26"/>
        <v>13200</v>
      </c>
      <c r="AV9" s="25">
        <f t="shared" si="27"/>
        <v>13200</v>
      </c>
      <c r="AW9" s="25">
        <f t="shared" si="28"/>
        <v>158400</v>
      </c>
      <c r="AX9" s="10"/>
      <c r="AY9" s="25">
        <f t="shared" si="77"/>
        <v>1210</v>
      </c>
      <c r="AZ9" s="25">
        <f t="shared" si="77"/>
        <v>1100</v>
      </c>
      <c r="BA9" s="25">
        <f t="shared" si="77"/>
        <v>1155</v>
      </c>
      <c r="BB9" s="25">
        <f t="shared" si="77"/>
        <v>1100</v>
      </c>
      <c r="BC9" s="25">
        <f t="shared" si="77"/>
        <v>1155</v>
      </c>
      <c r="BD9" s="25">
        <f t="shared" si="77"/>
        <v>1155</v>
      </c>
      <c r="BE9" s="25">
        <f t="shared" si="77"/>
        <v>1100</v>
      </c>
      <c r="BF9" s="25">
        <f t="shared" si="77"/>
        <v>1265</v>
      </c>
      <c r="BG9" s="25">
        <f t="shared" si="77"/>
        <v>1045</v>
      </c>
      <c r="BH9" s="25">
        <f t="shared" si="77"/>
        <v>1265</v>
      </c>
      <c r="BI9" s="25">
        <f t="shared" si="77"/>
        <v>1210</v>
      </c>
      <c r="BJ9" s="25">
        <f t="shared" si="77"/>
        <v>990</v>
      </c>
      <c r="BK9" s="25">
        <f t="shared" si="29"/>
        <v>13750</v>
      </c>
      <c r="BL9" s="10"/>
      <c r="BM9" s="25">
        <f t="shared" si="30"/>
        <v>13300</v>
      </c>
      <c r="BN9" s="25">
        <f t="shared" si="31"/>
        <v>13300</v>
      </c>
      <c r="BO9" s="25">
        <f t="shared" si="32"/>
        <v>13300</v>
      </c>
      <c r="BP9" s="25">
        <f t="shared" si="33"/>
        <v>13300</v>
      </c>
      <c r="BQ9" s="25">
        <f t="shared" si="34"/>
        <v>13300</v>
      </c>
      <c r="BR9" s="25">
        <f t="shared" si="35"/>
        <v>13300</v>
      </c>
      <c r="BS9" s="25">
        <f t="shared" si="36"/>
        <v>13300</v>
      </c>
      <c r="BT9" s="25">
        <f t="shared" si="37"/>
        <v>13300</v>
      </c>
      <c r="BU9" s="25">
        <f t="shared" si="38"/>
        <v>13300</v>
      </c>
      <c r="BV9" s="25">
        <f t="shared" si="39"/>
        <v>13300</v>
      </c>
      <c r="BW9" s="25">
        <f t="shared" si="40"/>
        <v>13300</v>
      </c>
      <c r="BX9" s="25">
        <f t="shared" si="41"/>
        <v>13300</v>
      </c>
      <c r="BY9" s="25">
        <f t="shared" si="42"/>
        <v>159600</v>
      </c>
      <c r="BZ9" s="10"/>
      <c r="CA9" s="25">
        <f t="shared" si="43"/>
        <v>4788</v>
      </c>
      <c r="CB9" s="25">
        <f t="shared" si="44"/>
        <v>4788</v>
      </c>
      <c r="CC9" s="25">
        <f t="shared" si="45"/>
        <v>4788</v>
      </c>
      <c r="CD9" s="25">
        <f t="shared" si="46"/>
        <v>4788</v>
      </c>
      <c r="CE9" s="25">
        <f t="shared" si="47"/>
        <v>4788</v>
      </c>
      <c r="CF9" s="25">
        <f t="shared" si="48"/>
        <v>4788</v>
      </c>
      <c r="CG9" s="25">
        <f t="shared" si="49"/>
        <v>4788</v>
      </c>
      <c r="CH9" s="25">
        <f t="shared" si="50"/>
        <v>4788</v>
      </c>
      <c r="CI9" s="25">
        <f t="shared" si="51"/>
        <v>4788</v>
      </c>
      <c r="CJ9" s="25">
        <f t="shared" si="52"/>
        <v>4788</v>
      </c>
      <c r="CK9" s="25">
        <f t="shared" si="53"/>
        <v>4788</v>
      </c>
      <c r="CL9" s="25">
        <f t="shared" si="54"/>
        <v>4788</v>
      </c>
      <c r="CM9" s="25">
        <f t="shared" si="55"/>
        <v>57456</v>
      </c>
      <c r="CN9" s="10"/>
      <c r="CO9" s="25"/>
      <c r="CP9" s="25"/>
      <c r="CQ9" s="25"/>
      <c r="CR9" s="25"/>
      <c r="CS9" s="25">
        <f t="shared" si="56"/>
        <v>17500</v>
      </c>
      <c r="CT9" s="25"/>
      <c r="CU9" s="25"/>
      <c r="CV9" s="25"/>
      <c r="CW9" s="25"/>
      <c r="CX9" s="25"/>
      <c r="CY9" s="25">
        <f t="shared" si="57"/>
        <v>17500</v>
      </c>
      <c r="CZ9" s="25"/>
      <c r="DA9" s="25">
        <f t="shared" si="58"/>
        <v>35000</v>
      </c>
      <c r="DB9" s="10"/>
      <c r="DC9" s="25">
        <v>333.33333333333331</v>
      </c>
      <c r="DD9" s="25">
        <v>333.33333333333331</v>
      </c>
      <c r="DE9" s="25">
        <v>333.33333333333331</v>
      </c>
      <c r="DF9" s="25">
        <v>333.33333333333331</v>
      </c>
      <c r="DG9" s="25">
        <v>333.33333333333331</v>
      </c>
      <c r="DH9" s="25">
        <v>333.33333333333331</v>
      </c>
      <c r="DI9" s="25">
        <v>333.33333333333331</v>
      </c>
      <c r="DJ9" s="25">
        <v>333.33333333333331</v>
      </c>
      <c r="DK9" s="25">
        <v>333.33333333333331</v>
      </c>
      <c r="DL9" s="25">
        <v>333.33333333333331</v>
      </c>
      <c r="DM9" s="25">
        <v>333.33333333333331</v>
      </c>
      <c r="DN9" s="25">
        <v>333.33333333333331</v>
      </c>
      <c r="DO9" s="25">
        <f t="shared" si="59"/>
        <v>4000.0000000000005</v>
      </c>
      <c r="DP9" s="10"/>
      <c r="DQ9" s="25">
        <f t="shared" si="60"/>
        <v>0</v>
      </c>
      <c r="DR9" s="25">
        <f t="shared" si="60"/>
        <v>0</v>
      </c>
      <c r="DS9" s="25">
        <f t="shared" si="60"/>
        <v>0</v>
      </c>
      <c r="DT9" s="25">
        <f t="shared" si="60"/>
        <v>0</v>
      </c>
      <c r="DU9" s="25">
        <f t="shared" si="60"/>
        <v>0</v>
      </c>
      <c r="DV9" s="25">
        <f t="shared" si="60"/>
        <v>0</v>
      </c>
      <c r="DW9" s="25">
        <f t="shared" si="60"/>
        <v>0</v>
      </c>
      <c r="DX9" s="25">
        <f t="shared" si="60"/>
        <v>0</v>
      </c>
      <c r="DY9" s="25">
        <f t="shared" si="60"/>
        <v>0</v>
      </c>
      <c r="DZ9" s="25">
        <f t="shared" si="60"/>
        <v>0</v>
      </c>
      <c r="EA9" s="25">
        <f t="shared" si="60"/>
        <v>0</v>
      </c>
      <c r="EB9" s="25">
        <f t="shared" si="60"/>
        <v>0</v>
      </c>
      <c r="EC9" s="25">
        <f t="shared" si="61"/>
        <v>0</v>
      </c>
      <c r="ED9" s="10"/>
      <c r="EE9" s="25">
        <f t="shared" si="62"/>
        <v>72498</v>
      </c>
      <c r="EF9" s="25">
        <f t="shared" si="63"/>
        <v>72388</v>
      </c>
      <c r="EG9" s="25">
        <f t="shared" si="64"/>
        <v>72443</v>
      </c>
      <c r="EH9" s="25">
        <f t="shared" si="65"/>
        <v>72388</v>
      </c>
      <c r="EI9" s="25">
        <f t="shared" si="66"/>
        <v>72443</v>
      </c>
      <c r="EJ9" s="25">
        <f t="shared" si="67"/>
        <v>72443</v>
      </c>
      <c r="EK9" s="25">
        <f t="shared" si="68"/>
        <v>72388</v>
      </c>
      <c r="EL9" s="25">
        <f t="shared" si="69"/>
        <v>72553</v>
      </c>
      <c r="EM9" s="25">
        <f t="shared" si="70"/>
        <v>72333</v>
      </c>
      <c r="EN9" s="25">
        <f t="shared" si="71"/>
        <v>72553</v>
      </c>
      <c r="EO9" s="25">
        <f t="shared" si="72"/>
        <v>72498</v>
      </c>
      <c r="EP9" s="25">
        <f t="shared" si="73"/>
        <v>72278</v>
      </c>
      <c r="EQ9" s="25">
        <f t="shared" si="74"/>
        <v>869206</v>
      </c>
    </row>
    <row r="10" spans="1:147" s="364" customFormat="1" outlineLevel="1">
      <c r="A10" s="364">
        <f t="shared" si="9"/>
        <v>459950.00000000006</v>
      </c>
      <c r="B10" s="364">
        <f t="shared" si="10"/>
        <v>455950.00000000006</v>
      </c>
      <c r="C10" s="364">
        <f t="shared" si="11"/>
        <v>0</v>
      </c>
      <c r="D10" s="364">
        <f t="shared" si="12"/>
        <v>4000.0000000000005</v>
      </c>
      <c r="E10" s="364">
        <f t="shared" si="13"/>
        <v>0</v>
      </c>
      <c r="F10" s="365">
        <v>25000.000000000004</v>
      </c>
      <c r="G10" s="371">
        <v>122</v>
      </c>
      <c r="H10" s="366">
        <v>5100</v>
      </c>
      <c r="I10" s="367" t="s">
        <v>64</v>
      </c>
      <c r="J10" s="366">
        <v>1</v>
      </c>
      <c r="K10" s="366" t="s">
        <v>144</v>
      </c>
      <c r="L10" s="366" t="s">
        <v>147</v>
      </c>
      <c r="M10" s="368" t="s">
        <v>253</v>
      </c>
      <c r="N10" s="25">
        <f>(F10*1.1*12)/(52*O10*(1+S10))</f>
        <v>144.23076923076928</v>
      </c>
      <c r="O10" s="25">
        <v>40</v>
      </c>
      <c r="P10" s="126">
        <v>25000.000000000011</v>
      </c>
      <c r="Q10" s="126">
        <f t="shared" si="75"/>
        <v>2500.0000000000014</v>
      </c>
      <c r="R10" s="126">
        <f t="shared" si="76"/>
        <v>27500.000000000011</v>
      </c>
      <c r="S10" s="369">
        <v>0.1</v>
      </c>
      <c r="T10" s="370"/>
      <c r="U10" s="25"/>
      <c r="V10" s="382">
        <v>145</v>
      </c>
      <c r="W10" s="25">
        <f t="shared" si="14"/>
        <v>25000.000000000011</v>
      </c>
      <c r="X10" s="25">
        <f t="shared" si="14"/>
        <v>25000.000000000011</v>
      </c>
      <c r="Y10" s="25">
        <f t="shared" si="14"/>
        <v>25000.000000000011</v>
      </c>
      <c r="Z10" s="25">
        <f t="shared" si="14"/>
        <v>25000.000000000011</v>
      </c>
      <c r="AA10" s="25">
        <f t="shared" si="14"/>
        <v>25000.000000000011</v>
      </c>
      <c r="AB10" s="25">
        <f t="shared" si="14"/>
        <v>25000.000000000011</v>
      </c>
      <c r="AC10" s="25">
        <f t="shared" si="14"/>
        <v>25000.000000000011</v>
      </c>
      <c r="AD10" s="25">
        <f t="shared" si="14"/>
        <v>25000.000000000011</v>
      </c>
      <c r="AE10" s="25">
        <f t="shared" si="14"/>
        <v>25000.000000000011</v>
      </c>
      <c r="AF10" s="25">
        <f t="shared" si="14"/>
        <v>25000.000000000011</v>
      </c>
      <c r="AG10" s="25">
        <f t="shared" si="14"/>
        <v>25000.000000000011</v>
      </c>
      <c r="AH10" s="25">
        <f t="shared" si="14"/>
        <v>25000.000000000011</v>
      </c>
      <c r="AI10" s="25">
        <f t="shared" si="15"/>
        <v>300000.00000000006</v>
      </c>
      <c r="AJ10" s="10"/>
      <c r="AK10" s="25">
        <f t="shared" si="16"/>
        <v>2500.0000000000014</v>
      </c>
      <c r="AL10" s="25">
        <f t="shared" si="17"/>
        <v>2500.0000000000014</v>
      </c>
      <c r="AM10" s="25">
        <f t="shared" si="18"/>
        <v>2500.0000000000014</v>
      </c>
      <c r="AN10" s="25">
        <f t="shared" si="19"/>
        <v>2500.0000000000014</v>
      </c>
      <c r="AO10" s="25">
        <f t="shared" si="20"/>
        <v>2500.0000000000014</v>
      </c>
      <c r="AP10" s="25">
        <f t="shared" si="21"/>
        <v>2500.0000000000014</v>
      </c>
      <c r="AQ10" s="25">
        <f t="shared" si="22"/>
        <v>2500.0000000000014</v>
      </c>
      <c r="AR10" s="25">
        <f t="shared" si="23"/>
        <v>2500.0000000000014</v>
      </c>
      <c r="AS10" s="25">
        <f t="shared" si="24"/>
        <v>2500.0000000000014</v>
      </c>
      <c r="AT10" s="25">
        <f t="shared" si="25"/>
        <v>2500.0000000000014</v>
      </c>
      <c r="AU10" s="25">
        <f t="shared" si="26"/>
        <v>2500.0000000000014</v>
      </c>
      <c r="AV10" s="25">
        <f t="shared" si="27"/>
        <v>2500.0000000000014</v>
      </c>
      <c r="AW10" s="25">
        <f t="shared" si="28"/>
        <v>30000.000000000011</v>
      </c>
      <c r="AX10" s="10"/>
      <c r="AY10" s="25">
        <f t="shared" si="77"/>
        <v>1210</v>
      </c>
      <c r="AZ10" s="25">
        <f t="shared" si="77"/>
        <v>1100</v>
      </c>
      <c r="BA10" s="25">
        <f t="shared" si="77"/>
        <v>1155</v>
      </c>
      <c r="BB10" s="25">
        <f t="shared" si="77"/>
        <v>1100</v>
      </c>
      <c r="BC10" s="25">
        <f t="shared" si="77"/>
        <v>1155</v>
      </c>
      <c r="BD10" s="25">
        <f t="shared" si="77"/>
        <v>1155</v>
      </c>
      <c r="BE10" s="25">
        <f t="shared" si="77"/>
        <v>1100</v>
      </c>
      <c r="BF10" s="25">
        <f t="shared" si="77"/>
        <v>1265</v>
      </c>
      <c r="BG10" s="25">
        <f t="shared" si="77"/>
        <v>1045</v>
      </c>
      <c r="BH10" s="25">
        <f t="shared" si="77"/>
        <v>1265</v>
      </c>
      <c r="BI10" s="25">
        <f t="shared" si="77"/>
        <v>1210</v>
      </c>
      <c r="BJ10" s="25">
        <f t="shared" si="77"/>
        <v>990</v>
      </c>
      <c r="BK10" s="25">
        <f t="shared" si="29"/>
        <v>13750</v>
      </c>
      <c r="BL10" s="10"/>
      <c r="BM10" s="25">
        <f t="shared" si="30"/>
        <v>6875.0000000000027</v>
      </c>
      <c r="BN10" s="25">
        <f t="shared" si="31"/>
        <v>6875.0000000000027</v>
      </c>
      <c r="BO10" s="25">
        <f t="shared" si="32"/>
        <v>6875.0000000000027</v>
      </c>
      <c r="BP10" s="25">
        <f t="shared" si="33"/>
        <v>6875.0000000000027</v>
      </c>
      <c r="BQ10" s="25">
        <f t="shared" si="34"/>
        <v>6875.0000000000027</v>
      </c>
      <c r="BR10" s="25">
        <f t="shared" si="35"/>
        <v>6875.0000000000027</v>
      </c>
      <c r="BS10" s="25">
        <f t="shared" si="36"/>
        <v>6875.0000000000027</v>
      </c>
      <c r="BT10" s="25">
        <f t="shared" si="37"/>
        <v>6875.0000000000027</v>
      </c>
      <c r="BU10" s="25">
        <f t="shared" si="38"/>
        <v>6875.0000000000027</v>
      </c>
      <c r="BV10" s="25">
        <f t="shared" si="39"/>
        <v>6875.0000000000027</v>
      </c>
      <c r="BW10" s="25">
        <f t="shared" si="40"/>
        <v>6875.0000000000027</v>
      </c>
      <c r="BX10" s="25">
        <f t="shared" si="41"/>
        <v>6875.0000000000027</v>
      </c>
      <c r="BY10" s="25">
        <f t="shared" si="42"/>
        <v>82500.000000000015</v>
      </c>
      <c r="BZ10" s="10"/>
      <c r="CA10" s="25">
        <f t="shared" si="43"/>
        <v>2475.0000000000009</v>
      </c>
      <c r="CB10" s="25">
        <f t="shared" si="44"/>
        <v>2475.0000000000009</v>
      </c>
      <c r="CC10" s="25">
        <f t="shared" si="45"/>
        <v>2475.0000000000009</v>
      </c>
      <c r="CD10" s="25">
        <f t="shared" si="46"/>
        <v>2475.0000000000009</v>
      </c>
      <c r="CE10" s="25">
        <f t="shared" si="47"/>
        <v>2475.0000000000009</v>
      </c>
      <c r="CF10" s="25">
        <f t="shared" si="48"/>
        <v>2475.0000000000009</v>
      </c>
      <c r="CG10" s="25">
        <f t="shared" si="49"/>
        <v>2475.0000000000009</v>
      </c>
      <c r="CH10" s="25">
        <f t="shared" si="50"/>
        <v>2475.0000000000009</v>
      </c>
      <c r="CI10" s="25">
        <f t="shared" si="51"/>
        <v>2475.0000000000009</v>
      </c>
      <c r="CJ10" s="25">
        <f t="shared" si="52"/>
        <v>2475.0000000000009</v>
      </c>
      <c r="CK10" s="25">
        <f t="shared" si="53"/>
        <v>2475.0000000000009</v>
      </c>
      <c r="CL10" s="25">
        <f t="shared" si="54"/>
        <v>2475.0000000000009</v>
      </c>
      <c r="CM10" s="25">
        <f t="shared" si="55"/>
        <v>29700.000000000004</v>
      </c>
      <c r="CN10" s="10"/>
      <c r="CO10" s="25"/>
      <c r="CP10" s="25"/>
      <c r="CQ10" s="25"/>
      <c r="CR10" s="25"/>
      <c r="CS10" s="25">
        <f t="shared" si="56"/>
        <v>0</v>
      </c>
      <c r="CT10" s="25"/>
      <c r="CU10" s="25"/>
      <c r="CV10" s="25"/>
      <c r="CW10" s="25"/>
      <c r="CX10" s="25"/>
      <c r="CY10" s="25">
        <f t="shared" si="57"/>
        <v>0</v>
      </c>
      <c r="CZ10" s="25"/>
      <c r="DA10" s="25">
        <f t="shared" si="58"/>
        <v>0</v>
      </c>
      <c r="DB10" s="10"/>
      <c r="DC10" s="25">
        <v>333.33333333333331</v>
      </c>
      <c r="DD10" s="25">
        <v>333.33333333333331</v>
      </c>
      <c r="DE10" s="25">
        <v>333.33333333333331</v>
      </c>
      <c r="DF10" s="25">
        <v>333.33333333333331</v>
      </c>
      <c r="DG10" s="25">
        <v>333.33333333333331</v>
      </c>
      <c r="DH10" s="25">
        <v>333.33333333333331</v>
      </c>
      <c r="DI10" s="25">
        <v>333.33333333333331</v>
      </c>
      <c r="DJ10" s="25">
        <v>333.33333333333331</v>
      </c>
      <c r="DK10" s="25">
        <v>333.33333333333331</v>
      </c>
      <c r="DL10" s="25">
        <v>333.33333333333331</v>
      </c>
      <c r="DM10" s="25">
        <v>333.33333333333331</v>
      </c>
      <c r="DN10" s="25">
        <v>333.33333333333331</v>
      </c>
      <c r="DO10" s="25">
        <f t="shared" si="59"/>
        <v>4000.0000000000005</v>
      </c>
      <c r="DP10" s="10"/>
      <c r="DQ10" s="25">
        <f t="shared" si="60"/>
        <v>0</v>
      </c>
      <c r="DR10" s="25">
        <f t="shared" si="60"/>
        <v>0</v>
      </c>
      <c r="DS10" s="25">
        <f t="shared" si="60"/>
        <v>0</v>
      </c>
      <c r="DT10" s="25">
        <f t="shared" si="60"/>
        <v>0</v>
      </c>
      <c r="DU10" s="25">
        <f t="shared" si="60"/>
        <v>0</v>
      </c>
      <c r="DV10" s="25">
        <f t="shared" si="60"/>
        <v>0</v>
      </c>
      <c r="DW10" s="25">
        <f t="shared" si="60"/>
        <v>0</v>
      </c>
      <c r="DX10" s="25">
        <f t="shared" si="60"/>
        <v>0</v>
      </c>
      <c r="DY10" s="25">
        <f t="shared" si="60"/>
        <v>0</v>
      </c>
      <c r="DZ10" s="25">
        <f t="shared" si="60"/>
        <v>0</v>
      </c>
      <c r="EA10" s="25">
        <f t="shared" si="60"/>
        <v>0</v>
      </c>
      <c r="EB10" s="25">
        <f t="shared" si="60"/>
        <v>0</v>
      </c>
      <c r="EC10" s="25">
        <f t="shared" si="61"/>
        <v>0</v>
      </c>
      <c r="ED10" s="10"/>
      <c r="EE10" s="25">
        <f t="shared" si="62"/>
        <v>38060.000000000015</v>
      </c>
      <c r="EF10" s="25">
        <f t="shared" si="63"/>
        <v>37950.000000000015</v>
      </c>
      <c r="EG10" s="25">
        <f t="shared" si="64"/>
        <v>38005.000000000015</v>
      </c>
      <c r="EH10" s="25">
        <f t="shared" si="65"/>
        <v>37950.000000000015</v>
      </c>
      <c r="EI10" s="25">
        <f t="shared" si="66"/>
        <v>38005.000000000015</v>
      </c>
      <c r="EJ10" s="25">
        <f t="shared" si="67"/>
        <v>38005.000000000015</v>
      </c>
      <c r="EK10" s="25">
        <f t="shared" si="68"/>
        <v>37950.000000000015</v>
      </c>
      <c r="EL10" s="25">
        <f t="shared" si="69"/>
        <v>38115.000000000015</v>
      </c>
      <c r="EM10" s="25">
        <f t="shared" si="70"/>
        <v>37895.000000000015</v>
      </c>
      <c r="EN10" s="25">
        <f t="shared" si="71"/>
        <v>38115.000000000015</v>
      </c>
      <c r="EO10" s="25">
        <f t="shared" si="72"/>
        <v>38060.000000000015</v>
      </c>
      <c r="EP10" s="25">
        <f t="shared" si="73"/>
        <v>37840.000000000015</v>
      </c>
      <c r="EQ10" s="25">
        <f t="shared" si="74"/>
        <v>455950.00000000006</v>
      </c>
    </row>
    <row r="11" spans="1:147" s="364" customFormat="1" outlineLevel="1">
      <c r="A11" s="364">
        <f t="shared" si="9"/>
        <v>631630</v>
      </c>
      <c r="B11" s="364">
        <f t="shared" si="10"/>
        <v>592630</v>
      </c>
      <c r="C11" s="364">
        <f t="shared" si="11"/>
        <v>35000</v>
      </c>
      <c r="D11" s="364">
        <f t="shared" si="12"/>
        <v>4000.0000000000005</v>
      </c>
      <c r="E11" s="364">
        <f t="shared" si="13"/>
        <v>0</v>
      </c>
      <c r="F11" s="365">
        <v>29999.999999999996</v>
      </c>
      <c r="G11" s="366">
        <v>123</v>
      </c>
      <c r="H11" s="366">
        <v>5100</v>
      </c>
      <c r="I11" s="367" t="s">
        <v>64</v>
      </c>
      <c r="J11" s="366">
        <v>1</v>
      </c>
      <c r="K11" s="366" t="s">
        <v>144</v>
      </c>
      <c r="L11" s="366" t="s">
        <v>145</v>
      </c>
      <c r="M11" s="372" t="s">
        <v>567</v>
      </c>
      <c r="N11" s="381"/>
      <c r="O11" s="381"/>
      <c r="P11" s="126">
        <v>29999.999999999996</v>
      </c>
      <c r="Q11" s="126">
        <f t="shared" si="75"/>
        <v>6000</v>
      </c>
      <c r="R11" s="126">
        <f t="shared" si="76"/>
        <v>36000</v>
      </c>
      <c r="S11" s="369">
        <v>0.2</v>
      </c>
      <c r="T11" s="373"/>
      <c r="U11" s="25">
        <v>35000</v>
      </c>
      <c r="V11" s="382"/>
      <c r="W11" s="25">
        <f t="shared" si="14"/>
        <v>29999.999999999996</v>
      </c>
      <c r="X11" s="25">
        <f t="shared" si="14"/>
        <v>29999.999999999996</v>
      </c>
      <c r="Y11" s="25">
        <f t="shared" si="14"/>
        <v>29999.999999999996</v>
      </c>
      <c r="Z11" s="25">
        <f t="shared" si="14"/>
        <v>29999.999999999996</v>
      </c>
      <c r="AA11" s="25">
        <f t="shared" si="14"/>
        <v>29999.999999999996</v>
      </c>
      <c r="AB11" s="25">
        <f t="shared" si="14"/>
        <v>29999.999999999996</v>
      </c>
      <c r="AC11" s="25">
        <f t="shared" si="14"/>
        <v>29999.999999999996</v>
      </c>
      <c r="AD11" s="25">
        <f t="shared" si="14"/>
        <v>29999.999999999996</v>
      </c>
      <c r="AE11" s="25">
        <f t="shared" si="14"/>
        <v>29999.999999999996</v>
      </c>
      <c r="AF11" s="25">
        <f t="shared" si="14"/>
        <v>29999.999999999996</v>
      </c>
      <c r="AG11" s="25">
        <f t="shared" si="14"/>
        <v>29999.999999999996</v>
      </c>
      <c r="AH11" s="25">
        <f t="shared" si="14"/>
        <v>29999.999999999996</v>
      </c>
      <c r="AI11" s="25">
        <f t="shared" si="15"/>
        <v>359999.99999999994</v>
      </c>
      <c r="AJ11" s="10"/>
      <c r="AK11" s="25">
        <f t="shared" si="16"/>
        <v>6000</v>
      </c>
      <c r="AL11" s="25">
        <f t="shared" si="17"/>
        <v>6000</v>
      </c>
      <c r="AM11" s="25">
        <f t="shared" si="18"/>
        <v>6000</v>
      </c>
      <c r="AN11" s="25">
        <f t="shared" si="19"/>
        <v>6000</v>
      </c>
      <c r="AO11" s="25">
        <f t="shared" si="20"/>
        <v>6000</v>
      </c>
      <c r="AP11" s="25">
        <f t="shared" si="21"/>
        <v>6000</v>
      </c>
      <c r="AQ11" s="25">
        <f t="shared" si="22"/>
        <v>6000</v>
      </c>
      <c r="AR11" s="25">
        <f t="shared" si="23"/>
        <v>6000</v>
      </c>
      <c r="AS11" s="25">
        <f t="shared" si="24"/>
        <v>6000</v>
      </c>
      <c r="AT11" s="25">
        <f t="shared" si="25"/>
        <v>6000</v>
      </c>
      <c r="AU11" s="25">
        <f t="shared" si="26"/>
        <v>6000</v>
      </c>
      <c r="AV11" s="25">
        <f t="shared" si="27"/>
        <v>6000</v>
      </c>
      <c r="AW11" s="25">
        <f t="shared" si="28"/>
        <v>72000</v>
      </c>
      <c r="AX11" s="10"/>
      <c r="AY11" s="25">
        <f t="shared" si="77"/>
        <v>1210</v>
      </c>
      <c r="AZ11" s="25">
        <f t="shared" si="77"/>
        <v>1100</v>
      </c>
      <c r="BA11" s="25">
        <f t="shared" si="77"/>
        <v>1155</v>
      </c>
      <c r="BB11" s="25">
        <f t="shared" si="77"/>
        <v>1100</v>
      </c>
      <c r="BC11" s="25">
        <f t="shared" si="77"/>
        <v>1155</v>
      </c>
      <c r="BD11" s="25">
        <f t="shared" si="77"/>
        <v>1155</v>
      </c>
      <c r="BE11" s="25">
        <f t="shared" si="77"/>
        <v>1100</v>
      </c>
      <c r="BF11" s="25">
        <f t="shared" si="77"/>
        <v>1265</v>
      </c>
      <c r="BG11" s="25">
        <f t="shared" si="77"/>
        <v>1045</v>
      </c>
      <c r="BH11" s="25">
        <f t="shared" si="77"/>
        <v>1265</v>
      </c>
      <c r="BI11" s="25">
        <f t="shared" si="77"/>
        <v>1210</v>
      </c>
      <c r="BJ11" s="25">
        <f t="shared" si="77"/>
        <v>990</v>
      </c>
      <c r="BK11" s="25">
        <f t="shared" si="29"/>
        <v>13750</v>
      </c>
      <c r="BL11" s="10"/>
      <c r="BM11" s="25">
        <f t="shared" si="30"/>
        <v>9000</v>
      </c>
      <c r="BN11" s="25">
        <f t="shared" si="31"/>
        <v>9000</v>
      </c>
      <c r="BO11" s="25">
        <f t="shared" si="32"/>
        <v>9000</v>
      </c>
      <c r="BP11" s="25">
        <f t="shared" si="33"/>
        <v>9000</v>
      </c>
      <c r="BQ11" s="25">
        <f t="shared" si="34"/>
        <v>9000</v>
      </c>
      <c r="BR11" s="25">
        <f t="shared" si="35"/>
        <v>9000</v>
      </c>
      <c r="BS11" s="25">
        <f t="shared" si="36"/>
        <v>9000</v>
      </c>
      <c r="BT11" s="25">
        <f t="shared" si="37"/>
        <v>9000</v>
      </c>
      <c r="BU11" s="25">
        <f t="shared" si="38"/>
        <v>9000</v>
      </c>
      <c r="BV11" s="25">
        <f t="shared" si="39"/>
        <v>9000</v>
      </c>
      <c r="BW11" s="25">
        <f t="shared" si="40"/>
        <v>9000</v>
      </c>
      <c r="BX11" s="25">
        <f t="shared" si="41"/>
        <v>9000</v>
      </c>
      <c r="BY11" s="25">
        <f t="shared" si="42"/>
        <v>108000</v>
      </c>
      <c r="BZ11" s="10"/>
      <c r="CA11" s="25">
        <f t="shared" si="43"/>
        <v>3240</v>
      </c>
      <c r="CB11" s="25">
        <f t="shared" si="44"/>
        <v>3240</v>
      </c>
      <c r="CC11" s="25">
        <f t="shared" si="45"/>
        <v>3240</v>
      </c>
      <c r="CD11" s="25">
        <f t="shared" si="46"/>
        <v>3240</v>
      </c>
      <c r="CE11" s="25">
        <f t="shared" si="47"/>
        <v>3240</v>
      </c>
      <c r="CF11" s="25">
        <f t="shared" si="48"/>
        <v>3240</v>
      </c>
      <c r="CG11" s="25">
        <f t="shared" si="49"/>
        <v>3240</v>
      </c>
      <c r="CH11" s="25">
        <f t="shared" si="50"/>
        <v>3240</v>
      </c>
      <c r="CI11" s="25">
        <f t="shared" si="51"/>
        <v>3240</v>
      </c>
      <c r="CJ11" s="25">
        <f t="shared" si="52"/>
        <v>3240</v>
      </c>
      <c r="CK11" s="25">
        <f t="shared" si="53"/>
        <v>3240</v>
      </c>
      <c r="CL11" s="25">
        <f t="shared" si="54"/>
        <v>3240</v>
      </c>
      <c r="CM11" s="25">
        <f t="shared" si="55"/>
        <v>38880</v>
      </c>
      <c r="CN11" s="10"/>
      <c r="CO11" s="25"/>
      <c r="CP11" s="25"/>
      <c r="CQ11" s="25"/>
      <c r="CR11" s="25"/>
      <c r="CS11" s="25">
        <f t="shared" si="56"/>
        <v>17500</v>
      </c>
      <c r="CT11" s="25"/>
      <c r="CU11" s="25"/>
      <c r="CV11" s="25"/>
      <c r="CW11" s="25"/>
      <c r="CX11" s="25"/>
      <c r="CY11" s="25">
        <f t="shared" si="57"/>
        <v>17500</v>
      </c>
      <c r="CZ11" s="25"/>
      <c r="DA11" s="25">
        <f t="shared" si="58"/>
        <v>35000</v>
      </c>
      <c r="DB11" s="10"/>
      <c r="DC11" s="25">
        <v>333.33333333333331</v>
      </c>
      <c r="DD11" s="25">
        <v>333.33333333333331</v>
      </c>
      <c r="DE11" s="25">
        <v>333.33333333333331</v>
      </c>
      <c r="DF11" s="25">
        <v>333.33333333333331</v>
      </c>
      <c r="DG11" s="25">
        <v>333.33333333333331</v>
      </c>
      <c r="DH11" s="25">
        <v>333.33333333333331</v>
      </c>
      <c r="DI11" s="25">
        <v>333.33333333333331</v>
      </c>
      <c r="DJ11" s="25">
        <v>333.33333333333331</v>
      </c>
      <c r="DK11" s="25">
        <v>333.33333333333331</v>
      </c>
      <c r="DL11" s="25">
        <v>333.33333333333331</v>
      </c>
      <c r="DM11" s="25">
        <v>333.33333333333331</v>
      </c>
      <c r="DN11" s="25">
        <v>333.33333333333331</v>
      </c>
      <c r="DO11" s="25">
        <f t="shared" si="59"/>
        <v>4000.0000000000005</v>
      </c>
      <c r="DP11" s="10"/>
      <c r="DQ11" s="25">
        <f t="shared" si="60"/>
        <v>0</v>
      </c>
      <c r="DR11" s="25">
        <f t="shared" si="60"/>
        <v>0</v>
      </c>
      <c r="DS11" s="25">
        <f t="shared" si="60"/>
        <v>0</v>
      </c>
      <c r="DT11" s="25">
        <f t="shared" si="60"/>
        <v>0</v>
      </c>
      <c r="DU11" s="25">
        <f t="shared" si="60"/>
        <v>0</v>
      </c>
      <c r="DV11" s="25">
        <f t="shared" si="60"/>
        <v>0</v>
      </c>
      <c r="DW11" s="25">
        <f t="shared" si="60"/>
        <v>0</v>
      </c>
      <c r="DX11" s="25">
        <f t="shared" si="60"/>
        <v>0</v>
      </c>
      <c r="DY11" s="25">
        <f t="shared" si="60"/>
        <v>0</v>
      </c>
      <c r="DZ11" s="25">
        <f t="shared" si="60"/>
        <v>0</v>
      </c>
      <c r="EA11" s="25">
        <f t="shared" si="60"/>
        <v>0</v>
      </c>
      <c r="EB11" s="25">
        <f t="shared" si="60"/>
        <v>0</v>
      </c>
      <c r="EC11" s="25">
        <f t="shared" si="61"/>
        <v>0</v>
      </c>
      <c r="ED11" s="10"/>
      <c r="EE11" s="25">
        <f t="shared" si="62"/>
        <v>49450</v>
      </c>
      <c r="EF11" s="25">
        <f t="shared" si="63"/>
        <v>49340</v>
      </c>
      <c r="EG11" s="25">
        <f t="shared" si="64"/>
        <v>49395</v>
      </c>
      <c r="EH11" s="25">
        <f t="shared" si="65"/>
        <v>49340</v>
      </c>
      <c r="EI11" s="25">
        <f t="shared" si="66"/>
        <v>49395</v>
      </c>
      <c r="EJ11" s="25">
        <f t="shared" si="67"/>
        <v>49395</v>
      </c>
      <c r="EK11" s="25">
        <f t="shared" si="68"/>
        <v>49340</v>
      </c>
      <c r="EL11" s="25">
        <f t="shared" si="69"/>
        <v>49505</v>
      </c>
      <c r="EM11" s="25">
        <f t="shared" si="70"/>
        <v>49285</v>
      </c>
      <c r="EN11" s="25">
        <f t="shared" si="71"/>
        <v>49505</v>
      </c>
      <c r="EO11" s="25">
        <f t="shared" si="72"/>
        <v>49450</v>
      </c>
      <c r="EP11" s="25">
        <f t="shared" si="73"/>
        <v>49230</v>
      </c>
      <c r="EQ11" s="25">
        <f t="shared" si="74"/>
        <v>592630</v>
      </c>
    </row>
    <row r="12" spans="1:147" s="364" customFormat="1" outlineLevel="1">
      <c r="A12" s="364">
        <f t="shared" si="9"/>
        <v>495820.20000000007</v>
      </c>
      <c r="B12" s="364">
        <f t="shared" si="10"/>
        <v>488820.20000000007</v>
      </c>
      <c r="C12" s="364">
        <f t="shared" si="11"/>
        <v>3000</v>
      </c>
      <c r="D12" s="364">
        <f t="shared" si="12"/>
        <v>4000.0000000000005</v>
      </c>
      <c r="E12" s="364">
        <f t="shared" si="13"/>
        <v>0</v>
      </c>
      <c r="F12" s="365">
        <v>26858.333333333339</v>
      </c>
      <c r="G12" s="371">
        <v>128</v>
      </c>
      <c r="H12" s="366">
        <v>6100</v>
      </c>
      <c r="I12" s="367" t="s">
        <v>65</v>
      </c>
      <c r="J12" s="366">
        <v>1</v>
      </c>
      <c r="K12" s="366" t="s">
        <v>144</v>
      </c>
      <c r="L12" s="366" t="s">
        <v>146</v>
      </c>
      <c r="M12" s="368" t="s">
        <v>568</v>
      </c>
      <c r="N12" s="25">
        <v>154.95192307692309</v>
      </c>
      <c r="O12" s="25">
        <v>40</v>
      </c>
      <c r="P12" s="126">
        <v>26858.333333333339</v>
      </c>
      <c r="Q12" s="126">
        <f t="shared" si="75"/>
        <v>2685.8333333333339</v>
      </c>
      <c r="R12" s="126">
        <f t="shared" si="76"/>
        <v>29544.166666666672</v>
      </c>
      <c r="S12" s="369">
        <v>0.1</v>
      </c>
      <c r="T12" s="370"/>
      <c r="U12" s="25">
        <v>3000</v>
      </c>
      <c r="V12" s="382">
        <v>130</v>
      </c>
      <c r="W12" s="25">
        <f t="shared" si="14"/>
        <v>26858.333333333339</v>
      </c>
      <c r="X12" s="25">
        <f t="shared" si="14"/>
        <v>26858.333333333339</v>
      </c>
      <c r="Y12" s="25">
        <f t="shared" si="14"/>
        <v>26858.333333333339</v>
      </c>
      <c r="Z12" s="25">
        <f t="shared" si="14"/>
        <v>26858.333333333339</v>
      </c>
      <c r="AA12" s="25">
        <f t="shared" si="14"/>
        <v>26858.333333333339</v>
      </c>
      <c r="AB12" s="25">
        <f t="shared" si="14"/>
        <v>26858.333333333339</v>
      </c>
      <c r="AC12" s="25">
        <f t="shared" si="14"/>
        <v>26858.333333333339</v>
      </c>
      <c r="AD12" s="25">
        <f t="shared" si="14"/>
        <v>26858.333333333339</v>
      </c>
      <c r="AE12" s="25">
        <f t="shared" si="14"/>
        <v>26858.333333333339</v>
      </c>
      <c r="AF12" s="25">
        <f t="shared" si="14"/>
        <v>26858.333333333339</v>
      </c>
      <c r="AG12" s="25">
        <f t="shared" si="14"/>
        <v>26858.333333333339</v>
      </c>
      <c r="AH12" s="25">
        <f t="shared" si="14"/>
        <v>26858.333333333339</v>
      </c>
      <c r="AI12" s="25">
        <f t="shared" si="15"/>
        <v>322300</v>
      </c>
      <c r="AJ12" s="10"/>
      <c r="AK12" s="25">
        <f t="shared" si="16"/>
        <v>2685.8333333333339</v>
      </c>
      <c r="AL12" s="25">
        <f t="shared" si="17"/>
        <v>2685.8333333333339</v>
      </c>
      <c r="AM12" s="25">
        <f t="shared" si="18"/>
        <v>2685.8333333333339</v>
      </c>
      <c r="AN12" s="25">
        <f t="shared" si="19"/>
        <v>2685.8333333333339</v>
      </c>
      <c r="AO12" s="25">
        <f t="shared" si="20"/>
        <v>2685.8333333333339</v>
      </c>
      <c r="AP12" s="25">
        <f t="shared" si="21"/>
        <v>2685.8333333333339</v>
      </c>
      <c r="AQ12" s="25">
        <f t="shared" si="22"/>
        <v>2685.8333333333339</v>
      </c>
      <c r="AR12" s="25">
        <f t="shared" si="23"/>
        <v>2685.8333333333339</v>
      </c>
      <c r="AS12" s="25">
        <f t="shared" si="24"/>
        <v>2685.8333333333339</v>
      </c>
      <c r="AT12" s="25">
        <f t="shared" si="25"/>
        <v>2685.8333333333339</v>
      </c>
      <c r="AU12" s="25">
        <f t="shared" si="26"/>
        <v>2685.8333333333339</v>
      </c>
      <c r="AV12" s="25">
        <f t="shared" si="27"/>
        <v>2685.8333333333339</v>
      </c>
      <c r="AW12" s="25">
        <f t="shared" si="28"/>
        <v>32230.000000000015</v>
      </c>
      <c r="AX12" s="10"/>
      <c r="AY12" s="25">
        <f t="shared" si="77"/>
        <v>1210</v>
      </c>
      <c r="AZ12" s="25">
        <f t="shared" si="77"/>
        <v>1100</v>
      </c>
      <c r="BA12" s="25">
        <f t="shared" si="77"/>
        <v>1155</v>
      </c>
      <c r="BB12" s="25">
        <f t="shared" si="77"/>
        <v>1100</v>
      </c>
      <c r="BC12" s="25">
        <f t="shared" si="77"/>
        <v>1155</v>
      </c>
      <c r="BD12" s="25">
        <f t="shared" si="77"/>
        <v>1155</v>
      </c>
      <c r="BE12" s="25">
        <f t="shared" si="77"/>
        <v>1100</v>
      </c>
      <c r="BF12" s="25">
        <f t="shared" si="77"/>
        <v>1265</v>
      </c>
      <c r="BG12" s="25">
        <f t="shared" si="77"/>
        <v>1045</v>
      </c>
      <c r="BH12" s="25">
        <f t="shared" si="77"/>
        <v>1265</v>
      </c>
      <c r="BI12" s="25">
        <f t="shared" si="77"/>
        <v>1210</v>
      </c>
      <c r="BJ12" s="25">
        <f t="shared" si="77"/>
        <v>990</v>
      </c>
      <c r="BK12" s="25">
        <f t="shared" si="29"/>
        <v>13750</v>
      </c>
      <c r="BL12" s="10"/>
      <c r="BM12" s="25">
        <f t="shared" si="30"/>
        <v>7386.0416666666679</v>
      </c>
      <c r="BN12" s="25">
        <f t="shared" si="31"/>
        <v>7386.0416666666679</v>
      </c>
      <c r="BO12" s="25">
        <f t="shared" si="32"/>
        <v>7386.0416666666679</v>
      </c>
      <c r="BP12" s="25">
        <f t="shared" si="33"/>
        <v>7386.0416666666679</v>
      </c>
      <c r="BQ12" s="25">
        <f t="shared" si="34"/>
        <v>7386.0416666666679</v>
      </c>
      <c r="BR12" s="25">
        <f t="shared" si="35"/>
        <v>7386.0416666666679</v>
      </c>
      <c r="BS12" s="25">
        <f t="shared" si="36"/>
        <v>7386.0416666666679</v>
      </c>
      <c r="BT12" s="25">
        <f t="shared" si="37"/>
        <v>7386.0416666666679</v>
      </c>
      <c r="BU12" s="25">
        <f t="shared" si="38"/>
        <v>7386.0416666666679</v>
      </c>
      <c r="BV12" s="25">
        <f t="shared" si="39"/>
        <v>7386.0416666666679</v>
      </c>
      <c r="BW12" s="25">
        <f t="shared" si="40"/>
        <v>7386.0416666666679</v>
      </c>
      <c r="BX12" s="25">
        <f t="shared" si="41"/>
        <v>7386.0416666666679</v>
      </c>
      <c r="BY12" s="25">
        <f t="shared" si="42"/>
        <v>88632.500000000044</v>
      </c>
      <c r="BZ12" s="10"/>
      <c r="CA12" s="25">
        <f t="shared" si="43"/>
        <v>2658.9750000000004</v>
      </c>
      <c r="CB12" s="25">
        <f t="shared" si="44"/>
        <v>2658.9750000000004</v>
      </c>
      <c r="CC12" s="25">
        <f t="shared" si="45"/>
        <v>2658.9750000000004</v>
      </c>
      <c r="CD12" s="25">
        <f t="shared" si="46"/>
        <v>2658.9750000000004</v>
      </c>
      <c r="CE12" s="25">
        <f t="shared" si="47"/>
        <v>2658.9750000000004</v>
      </c>
      <c r="CF12" s="25">
        <f t="shared" si="48"/>
        <v>2658.9750000000004</v>
      </c>
      <c r="CG12" s="25">
        <f t="shared" si="49"/>
        <v>2658.9750000000004</v>
      </c>
      <c r="CH12" s="25">
        <f t="shared" si="50"/>
        <v>2658.9750000000004</v>
      </c>
      <c r="CI12" s="25">
        <f t="shared" si="51"/>
        <v>2658.9750000000004</v>
      </c>
      <c r="CJ12" s="25">
        <f t="shared" si="52"/>
        <v>2658.9750000000004</v>
      </c>
      <c r="CK12" s="25">
        <f t="shared" si="53"/>
        <v>2658.9750000000004</v>
      </c>
      <c r="CL12" s="25">
        <f t="shared" si="54"/>
        <v>2658.9750000000004</v>
      </c>
      <c r="CM12" s="25">
        <f t="shared" si="55"/>
        <v>31907.699999999997</v>
      </c>
      <c r="CN12" s="10"/>
      <c r="CO12" s="25"/>
      <c r="CP12" s="25"/>
      <c r="CQ12" s="25"/>
      <c r="CR12" s="25"/>
      <c r="CS12" s="25">
        <f t="shared" si="56"/>
        <v>1500</v>
      </c>
      <c r="CT12" s="25"/>
      <c r="CU12" s="25"/>
      <c r="CV12" s="25"/>
      <c r="CW12" s="25"/>
      <c r="CX12" s="25"/>
      <c r="CY12" s="25">
        <f t="shared" si="57"/>
        <v>1500</v>
      </c>
      <c r="CZ12" s="25"/>
      <c r="DA12" s="25">
        <f t="shared" si="58"/>
        <v>3000</v>
      </c>
      <c r="DB12" s="10"/>
      <c r="DC12" s="25">
        <v>333.33333333333331</v>
      </c>
      <c r="DD12" s="25">
        <v>333.33333333333331</v>
      </c>
      <c r="DE12" s="25">
        <v>333.33333333333331</v>
      </c>
      <c r="DF12" s="25">
        <v>333.33333333333331</v>
      </c>
      <c r="DG12" s="25">
        <v>333.33333333333331</v>
      </c>
      <c r="DH12" s="25">
        <v>333.33333333333331</v>
      </c>
      <c r="DI12" s="25">
        <v>333.33333333333331</v>
      </c>
      <c r="DJ12" s="25">
        <v>333.33333333333331</v>
      </c>
      <c r="DK12" s="25">
        <v>333.33333333333331</v>
      </c>
      <c r="DL12" s="25">
        <v>333.33333333333331</v>
      </c>
      <c r="DM12" s="25">
        <v>333.33333333333331</v>
      </c>
      <c r="DN12" s="25">
        <v>333.33333333333331</v>
      </c>
      <c r="DO12" s="25">
        <f t="shared" si="59"/>
        <v>4000.0000000000005</v>
      </c>
      <c r="DP12" s="10"/>
      <c r="DQ12" s="25">
        <f t="shared" si="60"/>
        <v>0</v>
      </c>
      <c r="DR12" s="25">
        <f t="shared" si="60"/>
        <v>0</v>
      </c>
      <c r="DS12" s="25">
        <f t="shared" si="60"/>
        <v>0</v>
      </c>
      <c r="DT12" s="25">
        <f t="shared" si="60"/>
        <v>0</v>
      </c>
      <c r="DU12" s="25">
        <f t="shared" si="60"/>
        <v>0</v>
      </c>
      <c r="DV12" s="25">
        <f t="shared" si="60"/>
        <v>0</v>
      </c>
      <c r="DW12" s="25">
        <f t="shared" si="60"/>
        <v>0</v>
      </c>
      <c r="DX12" s="25">
        <f t="shared" si="60"/>
        <v>0</v>
      </c>
      <c r="DY12" s="25">
        <f t="shared" si="60"/>
        <v>0</v>
      </c>
      <c r="DZ12" s="25">
        <f t="shared" si="60"/>
        <v>0</v>
      </c>
      <c r="EA12" s="25">
        <f t="shared" si="60"/>
        <v>0</v>
      </c>
      <c r="EB12" s="25">
        <f t="shared" si="60"/>
        <v>0</v>
      </c>
      <c r="EC12" s="25">
        <f t="shared" si="61"/>
        <v>0</v>
      </c>
      <c r="ED12" s="10"/>
      <c r="EE12" s="25">
        <f t="shared" si="62"/>
        <v>40799.183333333342</v>
      </c>
      <c r="EF12" s="25">
        <f t="shared" si="63"/>
        <v>40689.183333333342</v>
      </c>
      <c r="EG12" s="25">
        <f t="shared" si="64"/>
        <v>40744.183333333342</v>
      </c>
      <c r="EH12" s="25">
        <f t="shared" si="65"/>
        <v>40689.183333333342</v>
      </c>
      <c r="EI12" s="25">
        <f t="shared" si="66"/>
        <v>40744.183333333342</v>
      </c>
      <c r="EJ12" s="25">
        <f t="shared" si="67"/>
        <v>40744.183333333342</v>
      </c>
      <c r="EK12" s="25">
        <f t="shared" si="68"/>
        <v>40689.183333333342</v>
      </c>
      <c r="EL12" s="25">
        <f t="shared" si="69"/>
        <v>40854.183333333342</v>
      </c>
      <c r="EM12" s="25">
        <f t="shared" si="70"/>
        <v>40634.183333333342</v>
      </c>
      <c r="EN12" s="25">
        <f t="shared" si="71"/>
        <v>40854.183333333342</v>
      </c>
      <c r="EO12" s="25">
        <f t="shared" si="72"/>
        <v>40799.183333333342</v>
      </c>
      <c r="EP12" s="25">
        <f t="shared" si="73"/>
        <v>40579.183333333342</v>
      </c>
      <c r="EQ12" s="25">
        <f t="shared" si="74"/>
        <v>488820.20000000013</v>
      </c>
    </row>
    <row r="13" spans="1:147" s="364" customFormat="1" ht="18.95" customHeight="1" outlineLevel="1">
      <c r="A13" s="364">
        <f t="shared" si="9"/>
        <v>495820.20000000007</v>
      </c>
      <c r="B13" s="364">
        <f t="shared" si="10"/>
        <v>488820.20000000007</v>
      </c>
      <c r="C13" s="364">
        <f t="shared" si="11"/>
        <v>3000</v>
      </c>
      <c r="D13" s="364">
        <f t="shared" si="12"/>
        <v>4000.0000000000005</v>
      </c>
      <c r="E13" s="364">
        <f t="shared" si="13"/>
        <v>0</v>
      </c>
      <c r="F13" s="365">
        <v>26858.333333333339</v>
      </c>
      <c r="G13" s="366">
        <v>129</v>
      </c>
      <c r="H13" s="366">
        <v>6100</v>
      </c>
      <c r="I13" s="367" t="s">
        <v>65</v>
      </c>
      <c r="J13" s="366">
        <v>1</v>
      </c>
      <c r="K13" s="366" t="s">
        <v>144</v>
      </c>
      <c r="L13" s="366" t="s">
        <v>146</v>
      </c>
      <c r="M13" s="368" t="s">
        <v>568</v>
      </c>
      <c r="N13" s="25">
        <v>154.95192307692309</v>
      </c>
      <c r="O13" s="25">
        <v>40</v>
      </c>
      <c r="P13" s="126">
        <v>26858.333333333339</v>
      </c>
      <c r="Q13" s="126">
        <f t="shared" si="75"/>
        <v>2685.8333333333339</v>
      </c>
      <c r="R13" s="126">
        <f t="shared" si="76"/>
        <v>29544.166666666672</v>
      </c>
      <c r="S13" s="369">
        <v>0.1</v>
      </c>
      <c r="T13" s="370"/>
      <c r="U13" s="25">
        <v>3000</v>
      </c>
      <c r="V13" s="382">
        <v>130</v>
      </c>
      <c r="W13" s="25">
        <f t="shared" si="14"/>
        <v>26858.333333333339</v>
      </c>
      <c r="X13" s="25">
        <f t="shared" si="14"/>
        <v>26858.333333333339</v>
      </c>
      <c r="Y13" s="25">
        <f t="shared" si="14"/>
        <v>26858.333333333339</v>
      </c>
      <c r="Z13" s="25">
        <f t="shared" si="14"/>
        <v>26858.333333333339</v>
      </c>
      <c r="AA13" s="25">
        <f t="shared" si="14"/>
        <v>26858.333333333339</v>
      </c>
      <c r="AB13" s="25">
        <f t="shared" si="14"/>
        <v>26858.333333333339</v>
      </c>
      <c r="AC13" s="25">
        <f t="shared" si="14"/>
        <v>26858.333333333339</v>
      </c>
      <c r="AD13" s="25">
        <f t="shared" si="14"/>
        <v>26858.333333333339</v>
      </c>
      <c r="AE13" s="25">
        <f t="shared" si="14"/>
        <v>26858.333333333339</v>
      </c>
      <c r="AF13" s="25">
        <f t="shared" si="14"/>
        <v>26858.333333333339</v>
      </c>
      <c r="AG13" s="25">
        <f t="shared" si="14"/>
        <v>26858.333333333339</v>
      </c>
      <c r="AH13" s="25">
        <f t="shared" si="14"/>
        <v>26858.333333333339</v>
      </c>
      <c r="AI13" s="25">
        <f t="shared" si="15"/>
        <v>322300</v>
      </c>
      <c r="AJ13" s="10"/>
      <c r="AK13" s="25">
        <f t="shared" si="16"/>
        <v>2685.8333333333339</v>
      </c>
      <c r="AL13" s="25">
        <f t="shared" si="17"/>
        <v>2685.8333333333339</v>
      </c>
      <c r="AM13" s="25">
        <f t="shared" si="18"/>
        <v>2685.8333333333339</v>
      </c>
      <c r="AN13" s="25">
        <f t="shared" si="19"/>
        <v>2685.8333333333339</v>
      </c>
      <c r="AO13" s="25">
        <f t="shared" si="20"/>
        <v>2685.8333333333339</v>
      </c>
      <c r="AP13" s="25">
        <f t="shared" si="21"/>
        <v>2685.8333333333339</v>
      </c>
      <c r="AQ13" s="25">
        <f t="shared" si="22"/>
        <v>2685.8333333333339</v>
      </c>
      <c r="AR13" s="25">
        <f t="shared" si="23"/>
        <v>2685.8333333333339</v>
      </c>
      <c r="AS13" s="25">
        <f t="shared" si="24"/>
        <v>2685.8333333333339</v>
      </c>
      <c r="AT13" s="25">
        <f t="shared" si="25"/>
        <v>2685.8333333333339</v>
      </c>
      <c r="AU13" s="25">
        <f t="shared" si="26"/>
        <v>2685.8333333333339</v>
      </c>
      <c r="AV13" s="25">
        <f t="shared" si="27"/>
        <v>2685.8333333333339</v>
      </c>
      <c r="AW13" s="25">
        <f t="shared" si="28"/>
        <v>32230.000000000015</v>
      </c>
      <c r="AX13" s="10"/>
      <c r="AY13" s="25">
        <f t="shared" si="77"/>
        <v>1210</v>
      </c>
      <c r="AZ13" s="25">
        <f t="shared" si="77"/>
        <v>1100</v>
      </c>
      <c r="BA13" s="25">
        <f t="shared" si="77"/>
        <v>1155</v>
      </c>
      <c r="BB13" s="25">
        <f t="shared" si="77"/>
        <v>1100</v>
      </c>
      <c r="BC13" s="25">
        <f t="shared" si="77"/>
        <v>1155</v>
      </c>
      <c r="BD13" s="25">
        <f t="shared" si="77"/>
        <v>1155</v>
      </c>
      <c r="BE13" s="25">
        <f t="shared" si="77"/>
        <v>1100</v>
      </c>
      <c r="BF13" s="25">
        <f t="shared" si="77"/>
        <v>1265</v>
      </c>
      <c r="BG13" s="25">
        <f t="shared" si="77"/>
        <v>1045</v>
      </c>
      <c r="BH13" s="25">
        <f t="shared" si="77"/>
        <v>1265</v>
      </c>
      <c r="BI13" s="25">
        <f t="shared" si="77"/>
        <v>1210</v>
      </c>
      <c r="BJ13" s="25">
        <f t="shared" si="77"/>
        <v>990</v>
      </c>
      <c r="BK13" s="25">
        <f t="shared" si="29"/>
        <v>13750</v>
      </c>
      <c r="BL13" s="10"/>
      <c r="BM13" s="25">
        <f t="shared" si="30"/>
        <v>7386.0416666666679</v>
      </c>
      <c r="BN13" s="25">
        <f t="shared" si="31"/>
        <v>7386.0416666666679</v>
      </c>
      <c r="BO13" s="25">
        <f t="shared" si="32"/>
        <v>7386.0416666666679</v>
      </c>
      <c r="BP13" s="25">
        <f t="shared" si="33"/>
        <v>7386.0416666666679</v>
      </c>
      <c r="BQ13" s="25">
        <f t="shared" si="34"/>
        <v>7386.0416666666679</v>
      </c>
      <c r="BR13" s="25">
        <f t="shared" si="35"/>
        <v>7386.0416666666679</v>
      </c>
      <c r="BS13" s="25">
        <f t="shared" si="36"/>
        <v>7386.0416666666679</v>
      </c>
      <c r="BT13" s="25">
        <f t="shared" si="37"/>
        <v>7386.0416666666679</v>
      </c>
      <c r="BU13" s="25">
        <f t="shared" si="38"/>
        <v>7386.0416666666679</v>
      </c>
      <c r="BV13" s="25">
        <f t="shared" si="39"/>
        <v>7386.0416666666679</v>
      </c>
      <c r="BW13" s="25">
        <f t="shared" si="40"/>
        <v>7386.0416666666679</v>
      </c>
      <c r="BX13" s="25">
        <f t="shared" si="41"/>
        <v>7386.0416666666679</v>
      </c>
      <c r="BY13" s="25">
        <f t="shared" si="42"/>
        <v>88632.500000000044</v>
      </c>
      <c r="BZ13" s="10"/>
      <c r="CA13" s="25">
        <f t="shared" si="43"/>
        <v>2658.9750000000004</v>
      </c>
      <c r="CB13" s="25">
        <f t="shared" si="44"/>
        <v>2658.9750000000004</v>
      </c>
      <c r="CC13" s="25">
        <f t="shared" si="45"/>
        <v>2658.9750000000004</v>
      </c>
      <c r="CD13" s="25">
        <f t="shared" si="46"/>
        <v>2658.9750000000004</v>
      </c>
      <c r="CE13" s="25">
        <f t="shared" si="47"/>
        <v>2658.9750000000004</v>
      </c>
      <c r="CF13" s="25">
        <f t="shared" si="48"/>
        <v>2658.9750000000004</v>
      </c>
      <c r="CG13" s="25">
        <f t="shared" si="49"/>
        <v>2658.9750000000004</v>
      </c>
      <c r="CH13" s="25">
        <f t="shared" si="50"/>
        <v>2658.9750000000004</v>
      </c>
      <c r="CI13" s="25">
        <f t="shared" si="51"/>
        <v>2658.9750000000004</v>
      </c>
      <c r="CJ13" s="25">
        <f t="shared" si="52"/>
        <v>2658.9750000000004</v>
      </c>
      <c r="CK13" s="25">
        <f t="shared" si="53"/>
        <v>2658.9750000000004</v>
      </c>
      <c r="CL13" s="25">
        <f t="shared" si="54"/>
        <v>2658.9750000000004</v>
      </c>
      <c r="CM13" s="25">
        <f t="shared" si="55"/>
        <v>31907.699999999997</v>
      </c>
      <c r="CN13" s="10"/>
      <c r="CO13" s="25"/>
      <c r="CP13" s="25"/>
      <c r="CQ13" s="25"/>
      <c r="CR13" s="25"/>
      <c r="CS13" s="25">
        <f t="shared" si="56"/>
        <v>1500</v>
      </c>
      <c r="CT13" s="25"/>
      <c r="CU13" s="25"/>
      <c r="CV13" s="25"/>
      <c r="CW13" s="25"/>
      <c r="CX13" s="25"/>
      <c r="CY13" s="25">
        <f t="shared" si="57"/>
        <v>1500</v>
      </c>
      <c r="CZ13" s="25"/>
      <c r="DA13" s="25">
        <f t="shared" si="58"/>
        <v>3000</v>
      </c>
      <c r="DB13" s="10"/>
      <c r="DC13" s="25">
        <v>333.33333333333331</v>
      </c>
      <c r="DD13" s="25">
        <v>333.33333333333331</v>
      </c>
      <c r="DE13" s="25">
        <v>333.33333333333331</v>
      </c>
      <c r="DF13" s="25">
        <v>333.33333333333331</v>
      </c>
      <c r="DG13" s="25">
        <v>333.33333333333331</v>
      </c>
      <c r="DH13" s="25">
        <v>333.33333333333331</v>
      </c>
      <c r="DI13" s="25">
        <v>333.33333333333331</v>
      </c>
      <c r="DJ13" s="25">
        <v>333.33333333333331</v>
      </c>
      <c r="DK13" s="25">
        <v>333.33333333333331</v>
      </c>
      <c r="DL13" s="25">
        <v>333.33333333333331</v>
      </c>
      <c r="DM13" s="25">
        <v>333.33333333333331</v>
      </c>
      <c r="DN13" s="25">
        <v>333.33333333333331</v>
      </c>
      <c r="DO13" s="25">
        <f t="shared" si="59"/>
        <v>4000.0000000000005</v>
      </c>
      <c r="DP13" s="10"/>
      <c r="DQ13" s="25">
        <f t="shared" si="60"/>
        <v>0</v>
      </c>
      <c r="DR13" s="25">
        <f t="shared" si="60"/>
        <v>0</v>
      </c>
      <c r="DS13" s="25">
        <f t="shared" si="60"/>
        <v>0</v>
      </c>
      <c r="DT13" s="25">
        <f t="shared" si="60"/>
        <v>0</v>
      </c>
      <c r="DU13" s="25">
        <f t="shared" si="60"/>
        <v>0</v>
      </c>
      <c r="DV13" s="25">
        <f t="shared" si="60"/>
        <v>0</v>
      </c>
      <c r="DW13" s="25">
        <f t="shared" si="60"/>
        <v>0</v>
      </c>
      <c r="DX13" s="25">
        <f t="shared" si="60"/>
        <v>0</v>
      </c>
      <c r="DY13" s="25">
        <f t="shared" si="60"/>
        <v>0</v>
      </c>
      <c r="DZ13" s="25">
        <f t="shared" si="60"/>
        <v>0</v>
      </c>
      <c r="EA13" s="25">
        <f t="shared" si="60"/>
        <v>0</v>
      </c>
      <c r="EB13" s="25">
        <f t="shared" si="60"/>
        <v>0</v>
      </c>
      <c r="EC13" s="25">
        <f t="shared" si="61"/>
        <v>0</v>
      </c>
      <c r="ED13" s="10"/>
      <c r="EE13" s="25">
        <f t="shared" si="62"/>
        <v>40799.183333333342</v>
      </c>
      <c r="EF13" s="25">
        <f t="shared" si="63"/>
        <v>40689.183333333342</v>
      </c>
      <c r="EG13" s="25">
        <f t="shared" si="64"/>
        <v>40744.183333333342</v>
      </c>
      <c r="EH13" s="25">
        <f t="shared" si="65"/>
        <v>40689.183333333342</v>
      </c>
      <c r="EI13" s="25">
        <f t="shared" si="66"/>
        <v>40744.183333333342</v>
      </c>
      <c r="EJ13" s="25">
        <f t="shared" si="67"/>
        <v>40744.183333333342</v>
      </c>
      <c r="EK13" s="25">
        <f t="shared" si="68"/>
        <v>40689.183333333342</v>
      </c>
      <c r="EL13" s="25">
        <f t="shared" si="69"/>
        <v>40854.183333333342</v>
      </c>
      <c r="EM13" s="25">
        <f t="shared" si="70"/>
        <v>40634.183333333342</v>
      </c>
      <c r="EN13" s="25">
        <f t="shared" si="71"/>
        <v>40854.183333333342</v>
      </c>
      <c r="EO13" s="25">
        <f t="shared" si="72"/>
        <v>40799.183333333342</v>
      </c>
      <c r="EP13" s="25">
        <f t="shared" si="73"/>
        <v>40579.183333333342</v>
      </c>
      <c r="EQ13" s="25">
        <f t="shared" si="74"/>
        <v>488820.20000000013</v>
      </c>
    </row>
    <row r="14" spans="1:147" s="364" customFormat="1" ht="18.95" customHeight="1" outlineLevel="1">
      <c r="A14" s="364">
        <f t="shared" ref="A14" si="78">SUM(B14:E14)</f>
        <v>495820.20000000007</v>
      </c>
      <c r="B14" s="364">
        <f t="shared" ref="B14" si="79">SUM(AI14,AW14,BK14,BY14,CM14)</f>
        <v>488820.20000000007</v>
      </c>
      <c r="C14" s="364">
        <f t="shared" ref="C14" si="80">DA14</f>
        <v>3000</v>
      </c>
      <c r="D14" s="364">
        <f t="shared" ref="D14" si="81">DO14</f>
        <v>4000.0000000000005</v>
      </c>
      <c r="E14" s="364">
        <f t="shared" ref="E14" si="82">EC14</f>
        <v>0</v>
      </c>
      <c r="F14" s="365">
        <v>26858.333333333339</v>
      </c>
      <c r="G14" s="366">
        <v>130</v>
      </c>
      <c r="H14" s="366">
        <v>6100</v>
      </c>
      <c r="I14" s="367" t="s">
        <v>65</v>
      </c>
      <c r="J14" s="366">
        <v>1</v>
      </c>
      <c r="K14" s="366" t="s">
        <v>144</v>
      </c>
      <c r="L14" s="366" t="s">
        <v>146</v>
      </c>
      <c r="M14" s="368" t="s">
        <v>568</v>
      </c>
      <c r="N14" s="25">
        <v>154.95192307692309</v>
      </c>
      <c r="O14" s="25">
        <v>40</v>
      </c>
      <c r="P14" s="126">
        <v>26858.333333333339</v>
      </c>
      <c r="Q14" s="126">
        <f t="shared" ref="Q14" si="83">P14*S14</f>
        <v>2685.8333333333339</v>
      </c>
      <c r="R14" s="126">
        <f t="shared" ref="R14" si="84">Q14+P14</f>
        <v>29544.166666666672</v>
      </c>
      <c r="S14" s="369">
        <v>0.1</v>
      </c>
      <c r="T14" s="370"/>
      <c r="U14" s="25">
        <v>3000</v>
      </c>
      <c r="V14" s="382">
        <v>130</v>
      </c>
      <c r="W14" s="25">
        <f t="shared" si="14"/>
        <v>26858.333333333339</v>
      </c>
      <c r="X14" s="25">
        <f t="shared" si="14"/>
        <v>26858.333333333339</v>
      </c>
      <c r="Y14" s="25">
        <f t="shared" si="14"/>
        <v>26858.333333333339</v>
      </c>
      <c r="Z14" s="25">
        <f t="shared" si="14"/>
        <v>26858.333333333339</v>
      </c>
      <c r="AA14" s="25">
        <f t="shared" si="14"/>
        <v>26858.333333333339</v>
      </c>
      <c r="AB14" s="25">
        <f t="shared" si="14"/>
        <v>26858.333333333339</v>
      </c>
      <c r="AC14" s="25">
        <f t="shared" si="14"/>
        <v>26858.333333333339</v>
      </c>
      <c r="AD14" s="25">
        <f t="shared" si="14"/>
        <v>26858.333333333339</v>
      </c>
      <c r="AE14" s="25">
        <f t="shared" si="14"/>
        <v>26858.333333333339</v>
      </c>
      <c r="AF14" s="25">
        <f t="shared" si="14"/>
        <v>26858.333333333339</v>
      </c>
      <c r="AG14" s="25">
        <f t="shared" si="14"/>
        <v>26858.333333333339</v>
      </c>
      <c r="AH14" s="25">
        <f t="shared" si="14"/>
        <v>26858.333333333339</v>
      </c>
      <c r="AI14" s="25">
        <f t="shared" ref="AI14" si="85">SUM(W14:AH14)</f>
        <v>322300</v>
      </c>
      <c r="AJ14" s="10"/>
      <c r="AK14" s="25">
        <f t="shared" ref="AK14" si="86">W14*$S14</f>
        <v>2685.8333333333339</v>
      </c>
      <c r="AL14" s="25">
        <f t="shared" ref="AL14" si="87">X14*$S14</f>
        <v>2685.8333333333339</v>
      </c>
      <c r="AM14" s="25">
        <f t="shared" ref="AM14" si="88">Y14*$S14</f>
        <v>2685.8333333333339</v>
      </c>
      <c r="AN14" s="25">
        <f t="shared" ref="AN14" si="89">Z14*$S14</f>
        <v>2685.8333333333339</v>
      </c>
      <c r="AO14" s="25">
        <f t="shared" ref="AO14" si="90">AA14*$S14</f>
        <v>2685.8333333333339</v>
      </c>
      <c r="AP14" s="25">
        <f t="shared" ref="AP14" si="91">AB14*$S14</f>
        <v>2685.8333333333339</v>
      </c>
      <c r="AQ14" s="25">
        <f t="shared" ref="AQ14" si="92">AC14*$S14</f>
        <v>2685.8333333333339</v>
      </c>
      <c r="AR14" s="25">
        <f t="shared" ref="AR14" si="93">AD14*$S14</f>
        <v>2685.8333333333339</v>
      </c>
      <c r="AS14" s="25">
        <f t="shared" ref="AS14" si="94">AE14*$S14</f>
        <v>2685.8333333333339</v>
      </c>
      <c r="AT14" s="25">
        <f t="shared" ref="AT14" si="95">AF14*$S14</f>
        <v>2685.8333333333339</v>
      </c>
      <c r="AU14" s="25">
        <f t="shared" ref="AU14" si="96">AG14*$S14</f>
        <v>2685.8333333333339</v>
      </c>
      <c r="AV14" s="25">
        <f t="shared" ref="AV14" si="97">AH14*$S14</f>
        <v>2685.8333333333339</v>
      </c>
      <c r="AW14" s="25">
        <f t="shared" ref="AW14" si="98">SUM(AK14:AV14)</f>
        <v>32230.000000000015</v>
      </c>
      <c r="AX14" s="10"/>
      <c r="AY14" s="25">
        <f t="shared" si="77"/>
        <v>1210</v>
      </c>
      <c r="AZ14" s="25">
        <f t="shared" si="77"/>
        <v>1100</v>
      </c>
      <c r="BA14" s="25">
        <f t="shared" si="77"/>
        <v>1155</v>
      </c>
      <c r="BB14" s="25">
        <f t="shared" si="77"/>
        <v>1100</v>
      </c>
      <c r="BC14" s="25">
        <f t="shared" si="77"/>
        <v>1155</v>
      </c>
      <c r="BD14" s="25">
        <f t="shared" si="77"/>
        <v>1155</v>
      </c>
      <c r="BE14" s="25">
        <f t="shared" si="77"/>
        <v>1100</v>
      </c>
      <c r="BF14" s="25">
        <f t="shared" si="77"/>
        <v>1265</v>
      </c>
      <c r="BG14" s="25">
        <f t="shared" si="77"/>
        <v>1045</v>
      </c>
      <c r="BH14" s="25">
        <f t="shared" si="77"/>
        <v>1265</v>
      </c>
      <c r="BI14" s="25">
        <f t="shared" si="77"/>
        <v>1210</v>
      </c>
      <c r="BJ14" s="25">
        <f t="shared" si="77"/>
        <v>990</v>
      </c>
      <c r="BK14" s="25">
        <f t="shared" ref="BK14" si="99">SUM(AY14:BJ14)</f>
        <v>13750</v>
      </c>
      <c r="BL14" s="10"/>
      <c r="BM14" s="25">
        <f t="shared" ref="BM14" si="100">SUM(W14,AK14)*25%</f>
        <v>7386.0416666666679</v>
      </c>
      <c r="BN14" s="25">
        <f t="shared" ref="BN14" si="101">SUM(X14,AL14)*25%</f>
        <v>7386.0416666666679</v>
      </c>
      <c r="BO14" s="25">
        <f t="shared" ref="BO14" si="102">SUM(Y14,AM14)*25%</f>
        <v>7386.0416666666679</v>
      </c>
      <c r="BP14" s="25">
        <f t="shared" ref="BP14" si="103">SUM(Z14,AN14)*25%</f>
        <v>7386.0416666666679</v>
      </c>
      <c r="BQ14" s="25">
        <f t="shared" ref="BQ14" si="104">SUM(AA14,AO14)*25%</f>
        <v>7386.0416666666679</v>
      </c>
      <c r="BR14" s="25">
        <f t="shared" ref="BR14" si="105">SUM(AB14,AP14)*25%</f>
        <v>7386.0416666666679</v>
      </c>
      <c r="BS14" s="25">
        <f t="shared" ref="BS14" si="106">SUM(AC14,AQ14)*25%</f>
        <v>7386.0416666666679</v>
      </c>
      <c r="BT14" s="25">
        <f t="shared" ref="BT14" si="107">SUM(AD14,AR14)*25%</f>
        <v>7386.0416666666679</v>
      </c>
      <c r="BU14" s="25">
        <f t="shared" ref="BU14" si="108">SUM(AE14,AS14)*25%</f>
        <v>7386.0416666666679</v>
      </c>
      <c r="BV14" s="25">
        <f t="shared" ref="BV14" si="109">SUM(AF14,AT14)*25%</f>
        <v>7386.0416666666679</v>
      </c>
      <c r="BW14" s="25">
        <f t="shared" ref="BW14" si="110">SUM(AG14,AU14)*25%</f>
        <v>7386.0416666666679</v>
      </c>
      <c r="BX14" s="25">
        <f t="shared" ref="BX14" si="111">SUM(AH14,AV14)*25%</f>
        <v>7386.0416666666679</v>
      </c>
      <c r="BY14" s="25">
        <f t="shared" ref="BY14" si="112">SUM(BM14:BX14)</f>
        <v>88632.500000000044</v>
      </c>
      <c r="BZ14" s="10"/>
      <c r="CA14" s="25">
        <f t="shared" ref="CA14" si="113">SUM(W14,AK14)*9%</f>
        <v>2658.9750000000004</v>
      </c>
      <c r="CB14" s="25">
        <f t="shared" ref="CB14" si="114">SUM(X14,AL14)*9%</f>
        <v>2658.9750000000004</v>
      </c>
      <c r="CC14" s="25">
        <f t="shared" ref="CC14" si="115">SUM(Y14,AM14)*9%</f>
        <v>2658.9750000000004</v>
      </c>
      <c r="CD14" s="25">
        <f t="shared" ref="CD14" si="116">SUM(Z14,AN14)*9%</f>
        <v>2658.9750000000004</v>
      </c>
      <c r="CE14" s="25">
        <f t="shared" ref="CE14" si="117">SUM(AA14,AO14)*9%</f>
        <v>2658.9750000000004</v>
      </c>
      <c r="CF14" s="25">
        <f t="shared" ref="CF14" si="118">SUM(AB14,AP14)*9%</f>
        <v>2658.9750000000004</v>
      </c>
      <c r="CG14" s="25">
        <f t="shared" ref="CG14" si="119">SUM(AC14,AQ14)*9%</f>
        <v>2658.9750000000004</v>
      </c>
      <c r="CH14" s="25">
        <f t="shared" ref="CH14" si="120">SUM(AD14,AR14)*9%</f>
        <v>2658.9750000000004</v>
      </c>
      <c r="CI14" s="25">
        <f t="shared" ref="CI14" si="121">SUM(AE14,AS14)*9%</f>
        <v>2658.9750000000004</v>
      </c>
      <c r="CJ14" s="25">
        <f t="shared" ref="CJ14" si="122">SUM(AF14,AT14)*9%</f>
        <v>2658.9750000000004</v>
      </c>
      <c r="CK14" s="25">
        <f t="shared" ref="CK14" si="123">SUM(AG14,AU14)*9%</f>
        <v>2658.9750000000004</v>
      </c>
      <c r="CL14" s="25">
        <f t="shared" ref="CL14" si="124">SUM(AH14,AV14)*9%</f>
        <v>2658.9750000000004</v>
      </c>
      <c r="CM14" s="25">
        <f t="shared" ref="CM14" si="125">SUM(CA14:CL14)</f>
        <v>31907.699999999997</v>
      </c>
      <c r="CN14" s="10"/>
      <c r="CO14" s="25"/>
      <c r="CP14" s="25"/>
      <c r="CQ14" s="25"/>
      <c r="CR14" s="25"/>
      <c r="CS14" s="25">
        <f t="shared" si="56"/>
        <v>1500</v>
      </c>
      <c r="CT14" s="25"/>
      <c r="CU14" s="25"/>
      <c r="CV14" s="25"/>
      <c r="CW14" s="25"/>
      <c r="CX14" s="25"/>
      <c r="CY14" s="25">
        <f t="shared" si="57"/>
        <v>1500</v>
      </c>
      <c r="CZ14" s="25"/>
      <c r="DA14" s="25">
        <f t="shared" ref="DA14" si="126">SUM(CO14:CZ14)</f>
        <v>3000</v>
      </c>
      <c r="DB14" s="10"/>
      <c r="DC14" s="25">
        <v>333.33333333333331</v>
      </c>
      <c r="DD14" s="25">
        <v>333.33333333333331</v>
      </c>
      <c r="DE14" s="25">
        <v>333.33333333333331</v>
      </c>
      <c r="DF14" s="25">
        <v>333.33333333333331</v>
      </c>
      <c r="DG14" s="25">
        <v>333.33333333333331</v>
      </c>
      <c r="DH14" s="25">
        <v>333.33333333333331</v>
      </c>
      <c r="DI14" s="25">
        <v>333.33333333333331</v>
      </c>
      <c r="DJ14" s="25">
        <v>333.33333333333331</v>
      </c>
      <c r="DK14" s="25">
        <v>333.33333333333331</v>
      </c>
      <c r="DL14" s="25">
        <v>333.33333333333331</v>
      </c>
      <c r="DM14" s="25">
        <v>333.33333333333331</v>
      </c>
      <c r="DN14" s="25">
        <v>333.33333333333331</v>
      </c>
      <c r="DO14" s="25">
        <f t="shared" ref="DO14" si="127">SUM(DC14:DN14)</f>
        <v>4000.0000000000005</v>
      </c>
      <c r="DP14" s="10"/>
      <c r="DQ14" s="25">
        <f t="shared" si="60"/>
        <v>0</v>
      </c>
      <c r="DR14" s="25">
        <f t="shared" si="60"/>
        <v>0</v>
      </c>
      <c r="DS14" s="25">
        <f t="shared" si="60"/>
        <v>0</v>
      </c>
      <c r="DT14" s="25">
        <f t="shared" si="60"/>
        <v>0</v>
      </c>
      <c r="DU14" s="25">
        <f t="shared" si="60"/>
        <v>0</v>
      </c>
      <c r="DV14" s="25">
        <f t="shared" si="60"/>
        <v>0</v>
      </c>
      <c r="DW14" s="25">
        <f t="shared" si="60"/>
        <v>0</v>
      </c>
      <c r="DX14" s="25">
        <f t="shared" si="60"/>
        <v>0</v>
      </c>
      <c r="DY14" s="25">
        <f t="shared" si="60"/>
        <v>0</v>
      </c>
      <c r="DZ14" s="25">
        <f t="shared" si="60"/>
        <v>0</v>
      </c>
      <c r="EA14" s="25">
        <f t="shared" si="60"/>
        <v>0</v>
      </c>
      <c r="EB14" s="25">
        <f t="shared" si="60"/>
        <v>0</v>
      </c>
      <c r="EC14" s="25">
        <f t="shared" ref="EC14" si="128">SUM(DQ14:EB14)</f>
        <v>0</v>
      </c>
      <c r="ED14" s="10"/>
      <c r="EE14" s="25">
        <f t="shared" ref="EE14" si="129">SUM(W14,AK14,AY14,BM14,CA14)</f>
        <v>40799.183333333342</v>
      </c>
      <c r="EF14" s="25">
        <f t="shared" ref="EF14" si="130">SUM(X14,AL14,AZ14,BN14,CB14)</f>
        <v>40689.183333333342</v>
      </c>
      <c r="EG14" s="25">
        <f t="shared" ref="EG14" si="131">SUM(Y14,AM14,BA14,BO14,CC14)</f>
        <v>40744.183333333342</v>
      </c>
      <c r="EH14" s="25">
        <f t="shared" ref="EH14" si="132">SUM(Z14,AN14,BB14,BP14,CD14)</f>
        <v>40689.183333333342</v>
      </c>
      <c r="EI14" s="25">
        <f t="shared" ref="EI14" si="133">SUM(AA14,AO14,BC14,BQ14,CE14)</f>
        <v>40744.183333333342</v>
      </c>
      <c r="EJ14" s="25">
        <f t="shared" ref="EJ14" si="134">SUM(AB14,AP14,BD14,BR14,CF14)</f>
        <v>40744.183333333342</v>
      </c>
      <c r="EK14" s="25">
        <f t="shared" ref="EK14" si="135">SUM(AC14,AQ14,BE14,BS14,CG14)</f>
        <v>40689.183333333342</v>
      </c>
      <c r="EL14" s="25">
        <f t="shared" ref="EL14" si="136">SUM(AD14,AR14,BF14,BT14,CH14)</f>
        <v>40854.183333333342</v>
      </c>
      <c r="EM14" s="25">
        <f t="shared" ref="EM14" si="137">SUM(AE14,AS14,BG14,BU14,CI14)</f>
        <v>40634.183333333342</v>
      </c>
      <c r="EN14" s="25">
        <f t="shared" ref="EN14" si="138">SUM(AF14,AT14,BH14,BV14,CJ14)</f>
        <v>40854.183333333342</v>
      </c>
      <c r="EO14" s="25">
        <f t="shared" ref="EO14" si="139">SUM(AG14,AU14,BI14,BW14,CK14)</f>
        <v>40799.183333333342</v>
      </c>
      <c r="EP14" s="25">
        <f t="shared" ref="EP14" si="140">SUM(AH14,AV14,BJ14,BX14,CL14)</f>
        <v>40579.183333333342</v>
      </c>
      <c r="EQ14" s="25">
        <f t="shared" ref="EQ14" si="141">SUM(EE14:EP14)</f>
        <v>488820.20000000013</v>
      </c>
    </row>
    <row r="15" spans="1:147" s="364" customFormat="1" ht="18.95" customHeight="1" outlineLevel="1">
      <c r="A15" s="364">
        <f t="shared" si="9"/>
        <v>495820.20000000007</v>
      </c>
      <c r="B15" s="364">
        <f t="shared" si="10"/>
        <v>488820.20000000007</v>
      </c>
      <c r="C15" s="364">
        <f t="shared" si="11"/>
        <v>3000</v>
      </c>
      <c r="D15" s="364">
        <f t="shared" si="12"/>
        <v>4000.0000000000005</v>
      </c>
      <c r="E15" s="364">
        <f t="shared" si="13"/>
        <v>0</v>
      </c>
      <c r="F15" s="365">
        <v>26858.333333333339</v>
      </c>
      <c r="G15" s="366">
        <v>133</v>
      </c>
      <c r="H15" s="366">
        <v>6100</v>
      </c>
      <c r="I15" s="367" t="s">
        <v>65</v>
      </c>
      <c r="J15" s="366">
        <v>1</v>
      </c>
      <c r="K15" s="366" t="s">
        <v>144</v>
      </c>
      <c r="L15" s="366" t="s">
        <v>146</v>
      </c>
      <c r="M15" s="368" t="s">
        <v>568</v>
      </c>
      <c r="N15" s="25">
        <v>154.95192307692309</v>
      </c>
      <c r="O15" s="25">
        <v>40</v>
      </c>
      <c r="P15" s="126">
        <v>26858.333333333339</v>
      </c>
      <c r="Q15" s="126">
        <f t="shared" si="75"/>
        <v>2685.8333333333339</v>
      </c>
      <c r="R15" s="126">
        <f t="shared" si="76"/>
        <v>29544.166666666672</v>
      </c>
      <c r="S15" s="369">
        <v>0.1</v>
      </c>
      <c r="T15" s="370"/>
      <c r="U15" s="25">
        <v>3000</v>
      </c>
      <c r="V15" s="382">
        <v>170</v>
      </c>
      <c r="W15" s="25">
        <f t="shared" si="14"/>
        <v>26858.333333333339</v>
      </c>
      <c r="X15" s="25">
        <f t="shared" si="14"/>
        <v>26858.333333333339</v>
      </c>
      <c r="Y15" s="25">
        <f t="shared" si="14"/>
        <v>26858.333333333339</v>
      </c>
      <c r="Z15" s="25">
        <f t="shared" si="14"/>
        <v>26858.333333333339</v>
      </c>
      <c r="AA15" s="25">
        <f t="shared" si="14"/>
        <v>26858.333333333339</v>
      </c>
      <c r="AB15" s="25">
        <f t="shared" si="14"/>
        <v>26858.333333333339</v>
      </c>
      <c r="AC15" s="25">
        <f t="shared" si="14"/>
        <v>26858.333333333339</v>
      </c>
      <c r="AD15" s="25">
        <f t="shared" si="14"/>
        <v>26858.333333333339</v>
      </c>
      <c r="AE15" s="25">
        <f t="shared" si="14"/>
        <v>26858.333333333339</v>
      </c>
      <c r="AF15" s="25">
        <f t="shared" si="14"/>
        <v>26858.333333333339</v>
      </c>
      <c r="AG15" s="25">
        <f t="shared" si="14"/>
        <v>26858.333333333339</v>
      </c>
      <c r="AH15" s="25">
        <f t="shared" si="14"/>
        <v>26858.333333333339</v>
      </c>
      <c r="AI15" s="25">
        <f t="shared" si="15"/>
        <v>322300</v>
      </c>
      <c r="AJ15" s="10"/>
      <c r="AK15" s="25">
        <f t="shared" si="16"/>
        <v>2685.8333333333339</v>
      </c>
      <c r="AL15" s="25">
        <f t="shared" si="17"/>
        <v>2685.8333333333339</v>
      </c>
      <c r="AM15" s="25">
        <f t="shared" si="18"/>
        <v>2685.8333333333339</v>
      </c>
      <c r="AN15" s="25">
        <f t="shared" si="19"/>
        <v>2685.8333333333339</v>
      </c>
      <c r="AO15" s="25">
        <f t="shared" si="20"/>
        <v>2685.8333333333339</v>
      </c>
      <c r="AP15" s="25">
        <f t="shared" si="21"/>
        <v>2685.8333333333339</v>
      </c>
      <c r="AQ15" s="25">
        <f t="shared" si="22"/>
        <v>2685.8333333333339</v>
      </c>
      <c r="AR15" s="25">
        <f t="shared" si="23"/>
        <v>2685.8333333333339</v>
      </c>
      <c r="AS15" s="25">
        <f t="shared" si="24"/>
        <v>2685.8333333333339</v>
      </c>
      <c r="AT15" s="25">
        <f t="shared" si="25"/>
        <v>2685.8333333333339</v>
      </c>
      <c r="AU15" s="25">
        <f t="shared" si="26"/>
        <v>2685.8333333333339</v>
      </c>
      <c r="AV15" s="25">
        <f t="shared" si="27"/>
        <v>2685.8333333333339</v>
      </c>
      <c r="AW15" s="25">
        <f t="shared" si="28"/>
        <v>32230.000000000015</v>
      </c>
      <c r="AX15" s="10"/>
      <c r="AY15" s="25">
        <f t="shared" si="77"/>
        <v>1210</v>
      </c>
      <c r="AZ15" s="25">
        <f t="shared" si="77"/>
        <v>1100</v>
      </c>
      <c r="BA15" s="25">
        <f t="shared" si="77"/>
        <v>1155</v>
      </c>
      <c r="BB15" s="25">
        <f t="shared" si="77"/>
        <v>1100</v>
      </c>
      <c r="BC15" s="25">
        <f t="shared" si="77"/>
        <v>1155</v>
      </c>
      <c r="BD15" s="25">
        <f t="shared" si="77"/>
        <v>1155</v>
      </c>
      <c r="BE15" s="25">
        <f t="shared" si="77"/>
        <v>1100</v>
      </c>
      <c r="BF15" s="25">
        <f t="shared" si="77"/>
        <v>1265</v>
      </c>
      <c r="BG15" s="25">
        <f t="shared" si="77"/>
        <v>1045</v>
      </c>
      <c r="BH15" s="25">
        <f t="shared" si="77"/>
        <v>1265</v>
      </c>
      <c r="BI15" s="25">
        <f t="shared" si="77"/>
        <v>1210</v>
      </c>
      <c r="BJ15" s="25">
        <f t="shared" si="77"/>
        <v>990</v>
      </c>
      <c r="BK15" s="25">
        <f t="shared" si="29"/>
        <v>13750</v>
      </c>
      <c r="BL15" s="10"/>
      <c r="BM15" s="25">
        <f t="shared" si="30"/>
        <v>7386.0416666666679</v>
      </c>
      <c r="BN15" s="25">
        <f t="shared" si="31"/>
        <v>7386.0416666666679</v>
      </c>
      <c r="BO15" s="25">
        <f t="shared" si="32"/>
        <v>7386.0416666666679</v>
      </c>
      <c r="BP15" s="25">
        <f t="shared" si="33"/>
        <v>7386.0416666666679</v>
      </c>
      <c r="BQ15" s="25">
        <f t="shared" si="34"/>
        <v>7386.0416666666679</v>
      </c>
      <c r="BR15" s="25">
        <f t="shared" si="35"/>
        <v>7386.0416666666679</v>
      </c>
      <c r="BS15" s="25">
        <f t="shared" si="36"/>
        <v>7386.0416666666679</v>
      </c>
      <c r="BT15" s="25">
        <f t="shared" si="37"/>
        <v>7386.0416666666679</v>
      </c>
      <c r="BU15" s="25">
        <f t="shared" si="38"/>
        <v>7386.0416666666679</v>
      </c>
      <c r="BV15" s="25">
        <f t="shared" si="39"/>
        <v>7386.0416666666679</v>
      </c>
      <c r="BW15" s="25">
        <f t="shared" si="40"/>
        <v>7386.0416666666679</v>
      </c>
      <c r="BX15" s="25">
        <f t="shared" si="41"/>
        <v>7386.0416666666679</v>
      </c>
      <c r="BY15" s="25">
        <f t="shared" si="42"/>
        <v>88632.500000000044</v>
      </c>
      <c r="BZ15" s="10"/>
      <c r="CA15" s="25">
        <f t="shared" si="43"/>
        <v>2658.9750000000004</v>
      </c>
      <c r="CB15" s="25">
        <f t="shared" si="44"/>
        <v>2658.9750000000004</v>
      </c>
      <c r="CC15" s="25">
        <f t="shared" si="45"/>
        <v>2658.9750000000004</v>
      </c>
      <c r="CD15" s="25">
        <f t="shared" si="46"/>
        <v>2658.9750000000004</v>
      </c>
      <c r="CE15" s="25">
        <f t="shared" si="47"/>
        <v>2658.9750000000004</v>
      </c>
      <c r="CF15" s="25">
        <f t="shared" si="48"/>
        <v>2658.9750000000004</v>
      </c>
      <c r="CG15" s="25">
        <f t="shared" si="49"/>
        <v>2658.9750000000004</v>
      </c>
      <c r="CH15" s="25">
        <f t="shared" si="50"/>
        <v>2658.9750000000004</v>
      </c>
      <c r="CI15" s="25">
        <f t="shared" si="51"/>
        <v>2658.9750000000004</v>
      </c>
      <c r="CJ15" s="25">
        <f t="shared" si="52"/>
        <v>2658.9750000000004</v>
      </c>
      <c r="CK15" s="25">
        <f t="shared" si="53"/>
        <v>2658.9750000000004</v>
      </c>
      <c r="CL15" s="25">
        <f t="shared" si="54"/>
        <v>2658.9750000000004</v>
      </c>
      <c r="CM15" s="25">
        <f t="shared" si="55"/>
        <v>31907.699999999997</v>
      </c>
      <c r="CN15" s="10"/>
      <c r="CO15" s="25"/>
      <c r="CP15" s="25"/>
      <c r="CQ15" s="25">
        <f>$U15</f>
        <v>3000</v>
      </c>
      <c r="CR15" s="25"/>
      <c r="CS15" s="25"/>
      <c r="CT15" s="25"/>
      <c r="CU15" s="25"/>
      <c r="CV15" s="25"/>
      <c r="CW15" s="25"/>
      <c r="CX15" s="25"/>
      <c r="CY15" s="25"/>
      <c r="CZ15" s="25"/>
      <c r="DA15" s="25">
        <f t="shared" si="58"/>
        <v>3000</v>
      </c>
      <c r="DB15" s="10"/>
      <c r="DC15" s="25">
        <v>333.33333333333331</v>
      </c>
      <c r="DD15" s="25">
        <v>333.33333333333331</v>
      </c>
      <c r="DE15" s="25">
        <v>333.33333333333331</v>
      </c>
      <c r="DF15" s="25">
        <v>333.33333333333331</v>
      </c>
      <c r="DG15" s="25">
        <v>333.33333333333331</v>
      </c>
      <c r="DH15" s="25">
        <v>333.33333333333331</v>
      </c>
      <c r="DI15" s="25">
        <v>333.33333333333331</v>
      </c>
      <c r="DJ15" s="25">
        <v>333.33333333333331</v>
      </c>
      <c r="DK15" s="25">
        <v>333.33333333333331</v>
      </c>
      <c r="DL15" s="25">
        <v>333.33333333333331</v>
      </c>
      <c r="DM15" s="25">
        <v>333.33333333333331</v>
      </c>
      <c r="DN15" s="25">
        <v>333.33333333333331</v>
      </c>
      <c r="DO15" s="25">
        <f t="shared" si="59"/>
        <v>4000.0000000000005</v>
      </c>
      <c r="DP15" s="10"/>
      <c r="DQ15" s="25">
        <f t="shared" si="60"/>
        <v>0</v>
      </c>
      <c r="DR15" s="25">
        <f t="shared" si="60"/>
        <v>0</v>
      </c>
      <c r="DS15" s="25">
        <f t="shared" si="60"/>
        <v>0</v>
      </c>
      <c r="DT15" s="25">
        <f t="shared" si="60"/>
        <v>0</v>
      </c>
      <c r="DU15" s="25">
        <f t="shared" si="60"/>
        <v>0</v>
      </c>
      <c r="DV15" s="25">
        <f t="shared" si="60"/>
        <v>0</v>
      </c>
      <c r="DW15" s="25">
        <f t="shared" si="60"/>
        <v>0</v>
      </c>
      <c r="DX15" s="25">
        <f t="shared" si="60"/>
        <v>0</v>
      </c>
      <c r="DY15" s="25">
        <f t="shared" si="60"/>
        <v>0</v>
      </c>
      <c r="DZ15" s="25">
        <f t="shared" si="60"/>
        <v>0</v>
      </c>
      <c r="EA15" s="25">
        <f t="shared" si="60"/>
        <v>0</v>
      </c>
      <c r="EB15" s="25">
        <f t="shared" si="60"/>
        <v>0</v>
      </c>
      <c r="EC15" s="25">
        <f t="shared" si="61"/>
        <v>0</v>
      </c>
      <c r="ED15" s="10"/>
      <c r="EE15" s="25">
        <f t="shared" si="62"/>
        <v>40799.183333333342</v>
      </c>
      <c r="EF15" s="25">
        <f t="shared" si="63"/>
        <v>40689.183333333342</v>
      </c>
      <c r="EG15" s="25">
        <f t="shared" si="64"/>
        <v>40744.183333333342</v>
      </c>
      <c r="EH15" s="25">
        <f t="shared" si="65"/>
        <v>40689.183333333342</v>
      </c>
      <c r="EI15" s="25">
        <f t="shared" si="66"/>
        <v>40744.183333333342</v>
      </c>
      <c r="EJ15" s="25">
        <f t="shared" si="67"/>
        <v>40744.183333333342</v>
      </c>
      <c r="EK15" s="25">
        <f t="shared" si="68"/>
        <v>40689.183333333342</v>
      </c>
      <c r="EL15" s="25">
        <f t="shared" si="69"/>
        <v>40854.183333333342</v>
      </c>
      <c r="EM15" s="25">
        <f t="shared" si="70"/>
        <v>40634.183333333342</v>
      </c>
      <c r="EN15" s="25">
        <f t="shared" si="71"/>
        <v>40854.183333333342</v>
      </c>
      <c r="EO15" s="25">
        <f t="shared" si="72"/>
        <v>40799.183333333342</v>
      </c>
      <c r="EP15" s="25">
        <f t="shared" si="73"/>
        <v>40579.183333333342</v>
      </c>
      <c r="EQ15" s="25">
        <f t="shared" si="74"/>
        <v>488820.20000000013</v>
      </c>
    </row>
    <row r="16" spans="1:147" s="364" customFormat="1" ht="18.95" customHeight="1" outlineLevel="1">
      <c r="A16" s="364">
        <f t="shared" si="9"/>
        <v>735359.40000000014</v>
      </c>
      <c r="B16" s="364">
        <f t="shared" si="10"/>
        <v>696359.40000000014</v>
      </c>
      <c r="C16" s="364">
        <f t="shared" si="11"/>
        <v>35000</v>
      </c>
      <c r="D16" s="364">
        <f t="shared" si="12"/>
        <v>4000.0000000000005</v>
      </c>
      <c r="E16" s="364">
        <f t="shared" si="13"/>
        <v>0</v>
      </c>
      <c r="F16" s="365">
        <v>38591.666666666672</v>
      </c>
      <c r="G16" s="371">
        <v>134</v>
      </c>
      <c r="H16" s="366">
        <v>6100</v>
      </c>
      <c r="I16" s="367" t="s">
        <v>65</v>
      </c>
      <c r="J16" s="366">
        <v>1</v>
      </c>
      <c r="K16" s="366" t="s">
        <v>144</v>
      </c>
      <c r="L16" s="366" t="s">
        <v>147</v>
      </c>
      <c r="M16" s="368" t="s">
        <v>394</v>
      </c>
      <c r="N16" s="25">
        <v>222.6442307692308</v>
      </c>
      <c r="O16" s="25">
        <v>40</v>
      </c>
      <c r="P16" s="126">
        <v>38591.666666666672</v>
      </c>
      <c r="Q16" s="126">
        <f t="shared" si="75"/>
        <v>3859.1666666666674</v>
      </c>
      <c r="R16" s="126">
        <f t="shared" si="76"/>
        <v>42450.833333333336</v>
      </c>
      <c r="S16" s="369">
        <v>0.1</v>
      </c>
      <c r="T16" s="370"/>
      <c r="U16" s="25">
        <v>35000</v>
      </c>
      <c r="V16" s="382">
        <v>170</v>
      </c>
      <c r="W16" s="25">
        <f t="shared" si="14"/>
        <v>38591.666666666672</v>
      </c>
      <c r="X16" s="25">
        <f t="shared" si="14"/>
        <v>38591.666666666672</v>
      </c>
      <c r="Y16" s="25">
        <f t="shared" si="14"/>
        <v>38591.666666666672</v>
      </c>
      <c r="Z16" s="25">
        <f t="shared" si="14"/>
        <v>38591.666666666672</v>
      </c>
      <c r="AA16" s="25">
        <f t="shared" si="14"/>
        <v>38591.666666666672</v>
      </c>
      <c r="AB16" s="25">
        <f t="shared" si="14"/>
        <v>38591.666666666672</v>
      </c>
      <c r="AC16" s="25">
        <f t="shared" si="14"/>
        <v>38591.666666666672</v>
      </c>
      <c r="AD16" s="25">
        <f t="shared" si="14"/>
        <v>38591.666666666672</v>
      </c>
      <c r="AE16" s="25">
        <f t="shared" si="14"/>
        <v>38591.666666666672</v>
      </c>
      <c r="AF16" s="25">
        <f t="shared" si="14"/>
        <v>38591.666666666672</v>
      </c>
      <c r="AG16" s="25">
        <f t="shared" si="14"/>
        <v>38591.666666666672</v>
      </c>
      <c r="AH16" s="25">
        <f t="shared" si="14"/>
        <v>38591.666666666672</v>
      </c>
      <c r="AI16" s="25">
        <f t="shared" si="15"/>
        <v>463100.00000000017</v>
      </c>
      <c r="AJ16" s="10"/>
      <c r="AK16" s="25">
        <f t="shared" si="16"/>
        <v>3859.1666666666674</v>
      </c>
      <c r="AL16" s="25">
        <f t="shared" si="17"/>
        <v>3859.1666666666674</v>
      </c>
      <c r="AM16" s="25">
        <f t="shared" si="18"/>
        <v>3859.1666666666674</v>
      </c>
      <c r="AN16" s="25">
        <f t="shared" si="19"/>
        <v>3859.1666666666674</v>
      </c>
      <c r="AO16" s="25">
        <f t="shared" si="20"/>
        <v>3859.1666666666674</v>
      </c>
      <c r="AP16" s="25">
        <f t="shared" si="21"/>
        <v>3859.1666666666674</v>
      </c>
      <c r="AQ16" s="25">
        <f t="shared" si="22"/>
        <v>3859.1666666666674</v>
      </c>
      <c r="AR16" s="25">
        <f t="shared" si="23"/>
        <v>3859.1666666666674</v>
      </c>
      <c r="AS16" s="25">
        <f t="shared" si="24"/>
        <v>3859.1666666666674</v>
      </c>
      <c r="AT16" s="25">
        <f t="shared" si="25"/>
        <v>3859.1666666666674</v>
      </c>
      <c r="AU16" s="25">
        <f t="shared" si="26"/>
        <v>3859.1666666666674</v>
      </c>
      <c r="AV16" s="25">
        <f t="shared" si="27"/>
        <v>3859.1666666666674</v>
      </c>
      <c r="AW16" s="25">
        <f t="shared" si="28"/>
        <v>46310</v>
      </c>
      <c r="AX16" s="10"/>
      <c r="AY16" s="25">
        <f t="shared" si="77"/>
        <v>1210</v>
      </c>
      <c r="AZ16" s="25">
        <f t="shared" si="77"/>
        <v>1100</v>
      </c>
      <c r="BA16" s="25">
        <f t="shared" si="77"/>
        <v>1155</v>
      </c>
      <c r="BB16" s="25">
        <f t="shared" si="77"/>
        <v>1100</v>
      </c>
      <c r="BC16" s="25">
        <f t="shared" si="77"/>
        <v>1155</v>
      </c>
      <c r="BD16" s="25">
        <f t="shared" si="77"/>
        <v>1155</v>
      </c>
      <c r="BE16" s="25">
        <f t="shared" si="77"/>
        <v>1100</v>
      </c>
      <c r="BF16" s="25">
        <f t="shared" si="77"/>
        <v>1265</v>
      </c>
      <c r="BG16" s="25">
        <f t="shared" si="77"/>
        <v>1045</v>
      </c>
      <c r="BH16" s="25">
        <f t="shared" si="77"/>
        <v>1265</v>
      </c>
      <c r="BI16" s="25">
        <f t="shared" si="77"/>
        <v>1210</v>
      </c>
      <c r="BJ16" s="25">
        <f t="shared" si="77"/>
        <v>990</v>
      </c>
      <c r="BK16" s="25">
        <f t="shared" si="29"/>
        <v>13750</v>
      </c>
      <c r="BL16" s="10"/>
      <c r="BM16" s="25">
        <f t="shared" si="30"/>
        <v>10612.708333333334</v>
      </c>
      <c r="BN16" s="25">
        <f t="shared" si="31"/>
        <v>10612.708333333334</v>
      </c>
      <c r="BO16" s="25">
        <f t="shared" si="32"/>
        <v>10612.708333333334</v>
      </c>
      <c r="BP16" s="25">
        <f t="shared" si="33"/>
        <v>10612.708333333334</v>
      </c>
      <c r="BQ16" s="25">
        <f t="shared" si="34"/>
        <v>10612.708333333334</v>
      </c>
      <c r="BR16" s="25">
        <f t="shared" si="35"/>
        <v>10612.708333333334</v>
      </c>
      <c r="BS16" s="25">
        <f t="shared" si="36"/>
        <v>10612.708333333334</v>
      </c>
      <c r="BT16" s="25">
        <f t="shared" si="37"/>
        <v>10612.708333333334</v>
      </c>
      <c r="BU16" s="25">
        <f t="shared" si="38"/>
        <v>10612.708333333334</v>
      </c>
      <c r="BV16" s="25">
        <f t="shared" si="39"/>
        <v>10612.708333333334</v>
      </c>
      <c r="BW16" s="25">
        <f t="shared" si="40"/>
        <v>10612.708333333334</v>
      </c>
      <c r="BX16" s="25">
        <f t="shared" si="41"/>
        <v>10612.708333333334</v>
      </c>
      <c r="BY16" s="25">
        <f t="shared" si="42"/>
        <v>127352.49999999999</v>
      </c>
      <c r="BZ16" s="10"/>
      <c r="CA16" s="25">
        <f t="shared" si="43"/>
        <v>3820.5750000000003</v>
      </c>
      <c r="CB16" s="25">
        <f t="shared" si="44"/>
        <v>3820.5750000000003</v>
      </c>
      <c r="CC16" s="25">
        <f t="shared" si="45"/>
        <v>3820.5750000000003</v>
      </c>
      <c r="CD16" s="25">
        <f t="shared" si="46"/>
        <v>3820.5750000000003</v>
      </c>
      <c r="CE16" s="25">
        <f t="shared" si="47"/>
        <v>3820.5750000000003</v>
      </c>
      <c r="CF16" s="25">
        <f t="shared" si="48"/>
        <v>3820.5750000000003</v>
      </c>
      <c r="CG16" s="25">
        <f t="shared" si="49"/>
        <v>3820.5750000000003</v>
      </c>
      <c r="CH16" s="25">
        <f t="shared" si="50"/>
        <v>3820.5750000000003</v>
      </c>
      <c r="CI16" s="25">
        <f t="shared" si="51"/>
        <v>3820.5750000000003</v>
      </c>
      <c r="CJ16" s="25">
        <f t="shared" si="52"/>
        <v>3820.5750000000003</v>
      </c>
      <c r="CK16" s="25">
        <f t="shared" si="53"/>
        <v>3820.5750000000003</v>
      </c>
      <c r="CL16" s="25">
        <f t="shared" si="54"/>
        <v>3820.5750000000003</v>
      </c>
      <c r="CM16" s="25">
        <f t="shared" si="55"/>
        <v>45846.899999999994</v>
      </c>
      <c r="CN16" s="10"/>
      <c r="CO16" s="25"/>
      <c r="CP16" s="25"/>
      <c r="CQ16" s="25"/>
      <c r="CR16" s="25"/>
      <c r="CS16" s="25">
        <f>$U16/2</f>
        <v>17500</v>
      </c>
      <c r="CT16" s="25"/>
      <c r="CU16" s="25"/>
      <c r="CV16" s="25"/>
      <c r="CW16" s="25"/>
      <c r="CX16" s="25"/>
      <c r="CY16" s="25">
        <f>$U16/2</f>
        <v>17500</v>
      </c>
      <c r="CZ16" s="25"/>
      <c r="DA16" s="25">
        <f t="shared" si="58"/>
        <v>35000</v>
      </c>
      <c r="DB16" s="10"/>
      <c r="DC16" s="25">
        <v>333.33333333333331</v>
      </c>
      <c r="DD16" s="25">
        <v>333.33333333333331</v>
      </c>
      <c r="DE16" s="25">
        <v>333.33333333333331</v>
      </c>
      <c r="DF16" s="25">
        <v>333.33333333333331</v>
      </c>
      <c r="DG16" s="25">
        <v>333.33333333333331</v>
      </c>
      <c r="DH16" s="25">
        <v>333.33333333333331</v>
      </c>
      <c r="DI16" s="25">
        <v>333.33333333333331</v>
      </c>
      <c r="DJ16" s="25">
        <v>333.33333333333331</v>
      </c>
      <c r="DK16" s="25">
        <v>333.33333333333331</v>
      </c>
      <c r="DL16" s="25">
        <v>333.33333333333331</v>
      </c>
      <c r="DM16" s="25">
        <v>333.33333333333331</v>
      </c>
      <c r="DN16" s="25">
        <v>333.33333333333331</v>
      </c>
      <c r="DO16" s="25">
        <f t="shared" si="59"/>
        <v>4000.0000000000005</v>
      </c>
      <c r="DP16" s="10"/>
      <c r="DQ16" s="25">
        <f t="shared" si="60"/>
        <v>0</v>
      </c>
      <c r="DR16" s="25">
        <f t="shared" si="60"/>
        <v>0</v>
      </c>
      <c r="DS16" s="25">
        <f t="shared" si="60"/>
        <v>0</v>
      </c>
      <c r="DT16" s="25">
        <f t="shared" si="60"/>
        <v>0</v>
      </c>
      <c r="DU16" s="25">
        <f t="shared" si="60"/>
        <v>0</v>
      </c>
      <c r="DV16" s="25">
        <f t="shared" si="60"/>
        <v>0</v>
      </c>
      <c r="DW16" s="25">
        <f t="shared" si="60"/>
        <v>0</v>
      </c>
      <c r="DX16" s="25">
        <f t="shared" si="60"/>
        <v>0</v>
      </c>
      <c r="DY16" s="25">
        <f t="shared" si="60"/>
        <v>0</v>
      </c>
      <c r="DZ16" s="25">
        <f t="shared" si="60"/>
        <v>0</v>
      </c>
      <c r="EA16" s="25">
        <f t="shared" si="60"/>
        <v>0</v>
      </c>
      <c r="EB16" s="25">
        <f t="shared" si="60"/>
        <v>0</v>
      </c>
      <c r="EC16" s="25">
        <f t="shared" si="61"/>
        <v>0</v>
      </c>
      <c r="ED16" s="10"/>
      <c r="EE16" s="25">
        <f t="shared" si="62"/>
        <v>58094.116666666669</v>
      </c>
      <c r="EF16" s="25">
        <f t="shared" si="63"/>
        <v>57984.116666666669</v>
      </c>
      <c r="EG16" s="25">
        <f t="shared" si="64"/>
        <v>58039.116666666669</v>
      </c>
      <c r="EH16" s="25">
        <f t="shared" si="65"/>
        <v>57984.116666666669</v>
      </c>
      <c r="EI16" s="25">
        <f t="shared" si="66"/>
        <v>58039.116666666669</v>
      </c>
      <c r="EJ16" s="25">
        <f t="shared" si="67"/>
        <v>58039.116666666669</v>
      </c>
      <c r="EK16" s="25">
        <f t="shared" si="68"/>
        <v>57984.116666666669</v>
      </c>
      <c r="EL16" s="25">
        <f t="shared" si="69"/>
        <v>58149.116666666669</v>
      </c>
      <c r="EM16" s="25">
        <f t="shared" si="70"/>
        <v>57929.116666666669</v>
      </c>
      <c r="EN16" s="25">
        <f t="shared" si="71"/>
        <v>58149.116666666669</v>
      </c>
      <c r="EO16" s="25">
        <f t="shared" si="72"/>
        <v>58094.116666666669</v>
      </c>
      <c r="EP16" s="25">
        <f t="shared" si="73"/>
        <v>57874.116666666669</v>
      </c>
      <c r="EQ16" s="25">
        <f t="shared" si="74"/>
        <v>696359.40000000026</v>
      </c>
    </row>
    <row r="17" spans="1:148" s="364" customFormat="1" outlineLevel="1">
      <c r="A17" s="364">
        <f t="shared" si="9"/>
        <v>725270</v>
      </c>
      <c r="B17" s="364">
        <f t="shared" si="10"/>
        <v>721270</v>
      </c>
      <c r="C17" s="364">
        <f t="shared" si="11"/>
        <v>0</v>
      </c>
      <c r="D17" s="364">
        <f t="shared" si="12"/>
        <v>4000.0000000000005</v>
      </c>
      <c r="E17" s="364">
        <f t="shared" si="13"/>
        <v>0</v>
      </c>
      <c r="F17" s="365">
        <v>40000</v>
      </c>
      <c r="G17" s="371">
        <v>138</v>
      </c>
      <c r="H17" s="366">
        <v>7300</v>
      </c>
      <c r="I17" s="367" t="s">
        <v>70</v>
      </c>
      <c r="J17" s="366">
        <v>1</v>
      </c>
      <c r="K17" s="366" t="s">
        <v>144</v>
      </c>
      <c r="L17" s="366" t="s">
        <v>145</v>
      </c>
      <c r="M17" s="368" t="s">
        <v>396</v>
      </c>
      <c r="N17" s="381"/>
      <c r="O17" s="381"/>
      <c r="P17" s="126">
        <v>40000</v>
      </c>
      <c r="Q17" s="126">
        <f t="shared" si="75"/>
        <v>4000</v>
      </c>
      <c r="R17" s="126">
        <f t="shared" si="76"/>
        <v>44000</v>
      </c>
      <c r="S17" s="369">
        <v>0.1</v>
      </c>
      <c r="T17" s="370"/>
      <c r="U17" s="25"/>
      <c r="V17" s="382"/>
      <c r="W17" s="25">
        <f t="shared" si="14"/>
        <v>40000</v>
      </c>
      <c r="X17" s="25">
        <f t="shared" si="14"/>
        <v>40000</v>
      </c>
      <c r="Y17" s="25">
        <f t="shared" si="14"/>
        <v>40000</v>
      </c>
      <c r="Z17" s="25">
        <f t="shared" si="14"/>
        <v>40000</v>
      </c>
      <c r="AA17" s="25">
        <f t="shared" si="14"/>
        <v>40000</v>
      </c>
      <c r="AB17" s="25">
        <f t="shared" si="14"/>
        <v>40000</v>
      </c>
      <c r="AC17" s="25">
        <f t="shared" si="14"/>
        <v>40000</v>
      </c>
      <c r="AD17" s="25">
        <f t="shared" si="14"/>
        <v>40000</v>
      </c>
      <c r="AE17" s="25">
        <f t="shared" si="14"/>
        <v>40000</v>
      </c>
      <c r="AF17" s="25">
        <f t="shared" si="14"/>
        <v>40000</v>
      </c>
      <c r="AG17" s="25">
        <f t="shared" si="14"/>
        <v>40000</v>
      </c>
      <c r="AH17" s="25">
        <f t="shared" si="14"/>
        <v>40000</v>
      </c>
      <c r="AI17" s="25">
        <f t="shared" si="15"/>
        <v>480000</v>
      </c>
      <c r="AJ17" s="10"/>
      <c r="AK17" s="25">
        <f t="shared" si="16"/>
        <v>4000</v>
      </c>
      <c r="AL17" s="25">
        <f t="shared" si="17"/>
        <v>4000</v>
      </c>
      <c r="AM17" s="25">
        <f t="shared" si="18"/>
        <v>4000</v>
      </c>
      <c r="AN17" s="25">
        <f t="shared" si="19"/>
        <v>4000</v>
      </c>
      <c r="AO17" s="25">
        <f t="shared" si="20"/>
        <v>4000</v>
      </c>
      <c r="AP17" s="25">
        <f t="shared" si="21"/>
        <v>4000</v>
      </c>
      <c r="AQ17" s="25">
        <f t="shared" si="22"/>
        <v>4000</v>
      </c>
      <c r="AR17" s="25">
        <f t="shared" si="23"/>
        <v>4000</v>
      </c>
      <c r="AS17" s="25">
        <f t="shared" si="24"/>
        <v>4000</v>
      </c>
      <c r="AT17" s="25">
        <f t="shared" si="25"/>
        <v>4000</v>
      </c>
      <c r="AU17" s="25">
        <f t="shared" si="26"/>
        <v>4000</v>
      </c>
      <c r="AV17" s="25">
        <f t="shared" si="27"/>
        <v>4000</v>
      </c>
      <c r="AW17" s="25">
        <f t="shared" si="28"/>
        <v>48000</v>
      </c>
      <c r="AX17" s="10"/>
      <c r="AY17" s="25">
        <f t="shared" si="77"/>
        <v>1210</v>
      </c>
      <c r="AZ17" s="25">
        <f t="shared" si="77"/>
        <v>1100</v>
      </c>
      <c r="BA17" s="25">
        <f t="shared" si="77"/>
        <v>1155</v>
      </c>
      <c r="BB17" s="25">
        <f t="shared" si="77"/>
        <v>1100</v>
      </c>
      <c r="BC17" s="25">
        <f t="shared" si="77"/>
        <v>1155</v>
      </c>
      <c r="BD17" s="25">
        <f t="shared" si="77"/>
        <v>1155</v>
      </c>
      <c r="BE17" s="25">
        <f t="shared" si="77"/>
        <v>1100</v>
      </c>
      <c r="BF17" s="25">
        <f t="shared" si="77"/>
        <v>1265</v>
      </c>
      <c r="BG17" s="25">
        <f t="shared" si="77"/>
        <v>1045</v>
      </c>
      <c r="BH17" s="25">
        <f t="shared" si="77"/>
        <v>1265</v>
      </c>
      <c r="BI17" s="25">
        <f t="shared" si="77"/>
        <v>1210</v>
      </c>
      <c r="BJ17" s="25">
        <f t="shared" si="77"/>
        <v>990</v>
      </c>
      <c r="BK17" s="25">
        <f t="shared" si="29"/>
        <v>13750</v>
      </c>
      <c r="BL17" s="10"/>
      <c r="BM17" s="25">
        <f t="shared" si="30"/>
        <v>11000</v>
      </c>
      <c r="BN17" s="25">
        <f t="shared" si="31"/>
        <v>11000</v>
      </c>
      <c r="BO17" s="25">
        <f t="shared" si="32"/>
        <v>11000</v>
      </c>
      <c r="BP17" s="25">
        <f t="shared" si="33"/>
        <v>11000</v>
      </c>
      <c r="BQ17" s="25">
        <f t="shared" si="34"/>
        <v>11000</v>
      </c>
      <c r="BR17" s="25">
        <f t="shared" si="35"/>
        <v>11000</v>
      </c>
      <c r="BS17" s="25">
        <f t="shared" si="36"/>
        <v>11000</v>
      </c>
      <c r="BT17" s="25">
        <f t="shared" si="37"/>
        <v>11000</v>
      </c>
      <c r="BU17" s="25">
        <f t="shared" si="38"/>
        <v>11000</v>
      </c>
      <c r="BV17" s="25">
        <f t="shared" si="39"/>
        <v>11000</v>
      </c>
      <c r="BW17" s="25">
        <f t="shared" si="40"/>
        <v>11000</v>
      </c>
      <c r="BX17" s="25">
        <f t="shared" si="41"/>
        <v>11000</v>
      </c>
      <c r="BY17" s="25">
        <f t="shared" si="42"/>
        <v>132000</v>
      </c>
      <c r="BZ17" s="10"/>
      <c r="CA17" s="25">
        <f t="shared" si="43"/>
        <v>3960</v>
      </c>
      <c r="CB17" s="25">
        <f t="shared" si="44"/>
        <v>3960</v>
      </c>
      <c r="CC17" s="25">
        <f t="shared" si="45"/>
        <v>3960</v>
      </c>
      <c r="CD17" s="25">
        <f t="shared" si="46"/>
        <v>3960</v>
      </c>
      <c r="CE17" s="25">
        <f t="shared" si="47"/>
        <v>3960</v>
      </c>
      <c r="CF17" s="25">
        <f t="shared" si="48"/>
        <v>3960</v>
      </c>
      <c r="CG17" s="25">
        <f t="shared" si="49"/>
        <v>3960</v>
      </c>
      <c r="CH17" s="25">
        <f t="shared" si="50"/>
        <v>3960</v>
      </c>
      <c r="CI17" s="25">
        <f t="shared" si="51"/>
        <v>3960</v>
      </c>
      <c r="CJ17" s="25">
        <f t="shared" si="52"/>
        <v>3960</v>
      </c>
      <c r="CK17" s="25">
        <f t="shared" si="53"/>
        <v>3960</v>
      </c>
      <c r="CL17" s="25">
        <f t="shared" si="54"/>
        <v>3960</v>
      </c>
      <c r="CM17" s="25">
        <f t="shared" si="55"/>
        <v>47520</v>
      </c>
      <c r="CN17" s="10"/>
      <c r="CO17" s="25"/>
      <c r="CP17" s="25"/>
      <c r="CQ17" s="25"/>
      <c r="CR17" s="25"/>
      <c r="CS17" s="25">
        <f>$U17</f>
        <v>0</v>
      </c>
      <c r="CT17" s="25"/>
      <c r="CU17" s="25"/>
      <c r="CV17" s="25"/>
      <c r="CW17" s="25"/>
      <c r="CX17" s="25"/>
      <c r="CY17" s="25"/>
      <c r="CZ17" s="25"/>
      <c r="DA17" s="25">
        <f t="shared" si="58"/>
        <v>0</v>
      </c>
      <c r="DB17" s="10"/>
      <c r="DC17" s="25">
        <v>333.33333333333331</v>
      </c>
      <c r="DD17" s="25">
        <v>333.33333333333331</v>
      </c>
      <c r="DE17" s="25">
        <v>333.33333333333331</v>
      </c>
      <c r="DF17" s="25">
        <v>333.33333333333331</v>
      </c>
      <c r="DG17" s="25">
        <v>333.33333333333331</v>
      </c>
      <c r="DH17" s="25">
        <v>333.33333333333331</v>
      </c>
      <c r="DI17" s="25">
        <v>333.33333333333331</v>
      </c>
      <c r="DJ17" s="25">
        <v>333.33333333333331</v>
      </c>
      <c r="DK17" s="25">
        <v>333.33333333333331</v>
      </c>
      <c r="DL17" s="25">
        <v>333.33333333333331</v>
      </c>
      <c r="DM17" s="25">
        <v>333.33333333333331</v>
      </c>
      <c r="DN17" s="25">
        <v>333.33333333333331</v>
      </c>
      <c r="DO17" s="25">
        <f t="shared" si="59"/>
        <v>4000.0000000000005</v>
      </c>
      <c r="DP17" s="10"/>
      <c r="DQ17" s="25">
        <f t="shared" si="60"/>
        <v>0</v>
      </c>
      <c r="DR17" s="25">
        <f t="shared" si="60"/>
        <v>0</v>
      </c>
      <c r="DS17" s="25">
        <f t="shared" si="60"/>
        <v>0</v>
      </c>
      <c r="DT17" s="25">
        <f t="shared" si="60"/>
        <v>0</v>
      </c>
      <c r="DU17" s="25">
        <f t="shared" si="60"/>
        <v>0</v>
      </c>
      <c r="DV17" s="25">
        <f t="shared" si="60"/>
        <v>0</v>
      </c>
      <c r="DW17" s="25">
        <f t="shared" si="60"/>
        <v>0</v>
      </c>
      <c r="DX17" s="25">
        <f t="shared" si="60"/>
        <v>0</v>
      </c>
      <c r="DY17" s="25">
        <f t="shared" si="60"/>
        <v>0</v>
      </c>
      <c r="DZ17" s="25">
        <f t="shared" si="60"/>
        <v>0</v>
      </c>
      <c r="EA17" s="25">
        <f t="shared" si="60"/>
        <v>0</v>
      </c>
      <c r="EB17" s="25">
        <f t="shared" si="60"/>
        <v>0</v>
      </c>
      <c r="EC17" s="25">
        <f t="shared" si="61"/>
        <v>0</v>
      </c>
      <c r="ED17" s="10"/>
      <c r="EE17" s="25">
        <f t="shared" si="62"/>
        <v>60170</v>
      </c>
      <c r="EF17" s="25">
        <f t="shared" si="63"/>
        <v>60060</v>
      </c>
      <c r="EG17" s="25">
        <f t="shared" si="64"/>
        <v>60115</v>
      </c>
      <c r="EH17" s="25">
        <f t="shared" si="65"/>
        <v>60060</v>
      </c>
      <c r="EI17" s="25">
        <f t="shared" si="66"/>
        <v>60115</v>
      </c>
      <c r="EJ17" s="25">
        <f t="shared" si="67"/>
        <v>60115</v>
      </c>
      <c r="EK17" s="25">
        <f t="shared" si="68"/>
        <v>60060</v>
      </c>
      <c r="EL17" s="25">
        <f t="shared" si="69"/>
        <v>60225</v>
      </c>
      <c r="EM17" s="25">
        <f t="shared" si="70"/>
        <v>60005</v>
      </c>
      <c r="EN17" s="25">
        <f t="shared" si="71"/>
        <v>60225</v>
      </c>
      <c r="EO17" s="25">
        <f t="shared" si="72"/>
        <v>60170</v>
      </c>
      <c r="EP17" s="25">
        <f t="shared" si="73"/>
        <v>59950</v>
      </c>
      <c r="EQ17" s="25">
        <f t="shared" si="74"/>
        <v>721270</v>
      </c>
    </row>
    <row r="18" spans="1:148" s="378" customFormat="1" outlineLevel="1">
      <c r="A18" s="364">
        <f t="shared" ref="A18" si="142">SUM(B18:E18)</f>
        <v>792590</v>
      </c>
      <c r="B18" s="364">
        <f t="shared" ref="B18" si="143">SUM(AI18,AW18,BK18,BY18,CM18)</f>
        <v>785590</v>
      </c>
      <c r="C18" s="364">
        <f t="shared" ref="C18" si="144">DA18</f>
        <v>3000</v>
      </c>
      <c r="D18" s="364">
        <f t="shared" ref="D18" si="145">DO18</f>
        <v>4000.0000000000005</v>
      </c>
      <c r="E18" s="364">
        <f t="shared" ref="E18" si="146">EC18</f>
        <v>0</v>
      </c>
      <c r="F18" s="365">
        <v>29000.000000000004</v>
      </c>
      <c r="G18" s="366">
        <v>139</v>
      </c>
      <c r="H18" s="375">
        <v>8200</v>
      </c>
      <c r="I18" s="376" t="s">
        <v>72</v>
      </c>
      <c r="J18" s="366">
        <v>1</v>
      </c>
      <c r="K18" s="366" t="s">
        <v>144</v>
      </c>
      <c r="L18" s="366" t="s">
        <v>146</v>
      </c>
      <c r="M18" s="377" t="s">
        <v>569</v>
      </c>
      <c r="N18" s="25">
        <v>250</v>
      </c>
      <c r="O18" s="25">
        <v>40</v>
      </c>
      <c r="P18" s="126">
        <f>N18*O18*4</f>
        <v>40000</v>
      </c>
      <c r="Q18" s="126">
        <f t="shared" ref="Q18" si="147">P18*S18</f>
        <v>8000</v>
      </c>
      <c r="R18" s="126">
        <f t="shared" ref="R18" si="148">Q18+P18</f>
        <v>48000</v>
      </c>
      <c r="S18" s="369">
        <v>0.2</v>
      </c>
      <c r="T18" s="370"/>
      <c r="U18" s="25">
        <v>3000</v>
      </c>
      <c r="V18" s="382">
        <v>120</v>
      </c>
      <c r="W18" s="25">
        <f t="shared" si="14"/>
        <v>40000</v>
      </c>
      <c r="X18" s="25">
        <f t="shared" si="14"/>
        <v>40000</v>
      </c>
      <c r="Y18" s="25">
        <f t="shared" si="14"/>
        <v>40000</v>
      </c>
      <c r="Z18" s="25">
        <f t="shared" si="14"/>
        <v>40000</v>
      </c>
      <c r="AA18" s="25">
        <f t="shared" si="14"/>
        <v>40000</v>
      </c>
      <c r="AB18" s="25">
        <f t="shared" si="14"/>
        <v>40000</v>
      </c>
      <c r="AC18" s="25">
        <f t="shared" si="14"/>
        <v>40000</v>
      </c>
      <c r="AD18" s="25">
        <f t="shared" si="14"/>
        <v>40000</v>
      </c>
      <c r="AE18" s="25">
        <f t="shared" si="14"/>
        <v>40000</v>
      </c>
      <c r="AF18" s="25">
        <f t="shared" si="14"/>
        <v>40000</v>
      </c>
      <c r="AG18" s="25">
        <f t="shared" si="14"/>
        <v>40000</v>
      </c>
      <c r="AH18" s="25">
        <f t="shared" si="14"/>
        <v>40000</v>
      </c>
      <c r="AI18" s="25">
        <f t="shared" ref="AI18" si="149">SUM(W18:AH18)</f>
        <v>480000</v>
      </c>
      <c r="AJ18" s="10"/>
      <c r="AK18" s="25">
        <f t="shared" ref="AK18" si="150">W18*$S18</f>
        <v>8000</v>
      </c>
      <c r="AL18" s="25">
        <f t="shared" ref="AL18" si="151">X18*$S18</f>
        <v>8000</v>
      </c>
      <c r="AM18" s="25">
        <f t="shared" ref="AM18" si="152">Y18*$S18</f>
        <v>8000</v>
      </c>
      <c r="AN18" s="25">
        <f t="shared" ref="AN18" si="153">Z18*$S18</f>
        <v>8000</v>
      </c>
      <c r="AO18" s="25">
        <f t="shared" ref="AO18" si="154">AA18*$S18</f>
        <v>8000</v>
      </c>
      <c r="AP18" s="25">
        <f t="shared" ref="AP18" si="155">AB18*$S18</f>
        <v>8000</v>
      </c>
      <c r="AQ18" s="25">
        <f t="shared" ref="AQ18" si="156">AC18*$S18</f>
        <v>8000</v>
      </c>
      <c r="AR18" s="25">
        <f t="shared" ref="AR18" si="157">AD18*$S18</f>
        <v>8000</v>
      </c>
      <c r="AS18" s="25">
        <f t="shared" ref="AS18" si="158">AE18*$S18</f>
        <v>8000</v>
      </c>
      <c r="AT18" s="25">
        <f t="shared" ref="AT18" si="159">AF18*$S18</f>
        <v>8000</v>
      </c>
      <c r="AU18" s="25">
        <f t="shared" ref="AU18" si="160">AG18*$S18</f>
        <v>8000</v>
      </c>
      <c r="AV18" s="25">
        <f t="shared" ref="AV18" si="161">AH18*$S18</f>
        <v>8000</v>
      </c>
      <c r="AW18" s="25">
        <f t="shared" ref="AW18" si="162">SUM(AK18:AV18)</f>
        <v>96000</v>
      </c>
      <c r="AX18" s="10"/>
      <c r="AY18" s="25">
        <f t="shared" ref="AY18:BJ29" si="163">55*AY$30*$J18</f>
        <v>1210</v>
      </c>
      <c r="AZ18" s="25">
        <f t="shared" si="163"/>
        <v>1100</v>
      </c>
      <c r="BA18" s="25">
        <f t="shared" si="163"/>
        <v>1155</v>
      </c>
      <c r="BB18" s="25">
        <f t="shared" si="163"/>
        <v>1100</v>
      </c>
      <c r="BC18" s="25">
        <f t="shared" si="163"/>
        <v>1155</v>
      </c>
      <c r="BD18" s="25">
        <f t="shared" si="163"/>
        <v>1155</v>
      </c>
      <c r="BE18" s="25">
        <f t="shared" si="163"/>
        <v>1100</v>
      </c>
      <c r="BF18" s="25">
        <f t="shared" si="163"/>
        <v>1265</v>
      </c>
      <c r="BG18" s="25">
        <f t="shared" si="163"/>
        <v>1045</v>
      </c>
      <c r="BH18" s="25">
        <f t="shared" si="163"/>
        <v>1265</v>
      </c>
      <c r="BI18" s="25">
        <f t="shared" si="163"/>
        <v>1210</v>
      </c>
      <c r="BJ18" s="25">
        <f t="shared" si="163"/>
        <v>990</v>
      </c>
      <c r="BK18" s="25">
        <f t="shared" ref="BK18" si="164">SUM(AY18:BJ18)</f>
        <v>13750</v>
      </c>
      <c r="BL18" s="10"/>
      <c r="BM18" s="25">
        <f t="shared" ref="BM18" si="165">SUM(W18,AK18)*25%</f>
        <v>12000</v>
      </c>
      <c r="BN18" s="25">
        <f t="shared" ref="BN18" si="166">SUM(X18,AL18)*25%</f>
        <v>12000</v>
      </c>
      <c r="BO18" s="25">
        <f t="shared" ref="BO18" si="167">SUM(Y18,AM18)*25%</f>
        <v>12000</v>
      </c>
      <c r="BP18" s="25">
        <f t="shared" ref="BP18" si="168">SUM(Z18,AN18)*25%</f>
        <v>12000</v>
      </c>
      <c r="BQ18" s="25">
        <f t="shared" ref="BQ18" si="169">SUM(AA18,AO18)*25%</f>
        <v>12000</v>
      </c>
      <c r="BR18" s="25">
        <f t="shared" ref="BR18" si="170">SUM(AB18,AP18)*25%</f>
        <v>12000</v>
      </c>
      <c r="BS18" s="25">
        <f t="shared" ref="BS18" si="171">SUM(AC18,AQ18)*25%</f>
        <v>12000</v>
      </c>
      <c r="BT18" s="25">
        <f t="shared" ref="BT18" si="172">SUM(AD18,AR18)*25%</f>
        <v>12000</v>
      </c>
      <c r="BU18" s="25">
        <f t="shared" ref="BU18" si="173">SUM(AE18,AS18)*25%</f>
        <v>12000</v>
      </c>
      <c r="BV18" s="25">
        <f t="shared" ref="BV18" si="174">SUM(AF18,AT18)*25%</f>
        <v>12000</v>
      </c>
      <c r="BW18" s="25">
        <f t="shared" ref="BW18" si="175">SUM(AG18,AU18)*25%</f>
        <v>12000</v>
      </c>
      <c r="BX18" s="25">
        <f t="shared" ref="BX18" si="176">SUM(AH18,AV18)*25%</f>
        <v>12000</v>
      </c>
      <c r="BY18" s="25">
        <f t="shared" ref="BY18" si="177">SUM(BM18:BX18)</f>
        <v>144000</v>
      </c>
      <c r="BZ18" s="10"/>
      <c r="CA18" s="25">
        <f t="shared" ref="CA18" si="178">SUM(W18,AK18)*9%</f>
        <v>4320</v>
      </c>
      <c r="CB18" s="25">
        <f t="shared" ref="CB18" si="179">SUM(X18,AL18)*9%</f>
        <v>4320</v>
      </c>
      <c r="CC18" s="25">
        <f t="shared" ref="CC18" si="180">SUM(Y18,AM18)*9%</f>
        <v>4320</v>
      </c>
      <c r="CD18" s="25">
        <f t="shared" ref="CD18" si="181">SUM(Z18,AN18)*9%</f>
        <v>4320</v>
      </c>
      <c r="CE18" s="25">
        <f t="shared" ref="CE18" si="182">SUM(AA18,AO18)*9%</f>
        <v>4320</v>
      </c>
      <c r="CF18" s="25">
        <f t="shared" ref="CF18" si="183">SUM(AB18,AP18)*9%</f>
        <v>4320</v>
      </c>
      <c r="CG18" s="25">
        <f t="shared" ref="CG18" si="184">SUM(AC18,AQ18)*9%</f>
        <v>4320</v>
      </c>
      <c r="CH18" s="25">
        <f t="shared" ref="CH18" si="185">SUM(AD18,AR18)*9%</f>
        <v>4320</v>
      </c>
      <c r="CI18" s="25">
        <f t="shared" ref="CI18" si="186">SUM(AE18,AS18)*9%</f>
        <v>4320</v>
      </c>
      <c r="CJ18" s="25">
        <f t="shared" ref="CJ18" si="187">SUM(AF18,AT18)*9%</f>
        <v>4320</v>
      </c>
      <c r="CK18" s="25">
        <f t="shared" ref="CK18" si="188">SUM(AG18,AU18)*9%</f>
        <v>4320</v>
      </c>
      <c r="CL18" s="25">
        <f t="shared" ref="CL18" si="189">SUM(AH18,AV18)*9%</f>
        <v>4320</v>
      </c>
      <c r="CM18" s="25">
        <f t="shared" ref="CM18" si="190">SUM(CA18:CL18)</f>
        <v>51840</v>
      </c>
      <c r="CN18" s="10"/>
      <c r="CO18" s="25"/>
      <c r="CP18" s="25"/>
      <c r="CQ18" s="25">
        <f t="shared" ref="CQ18:CQ29" si="191">$U18</f>
        <v>3000</v>
      </c>
      <c r="CR18" s="25"/>
      <c r="CS18" s="25"/>
      <c r="CT18" s="25"/>
      <c r="CU18" s="25"/>
      <c r="CV18" s="25"/>
      <c r="CW18" s="25"/>
      <c r="CX18" s="25"/>
      <c r="CY18" s="25"/>
      <c r="CZ18" s="25"/>
      <c r="DA18" s="25">
        <f t="shared" ref="DA18" si="192">SUM(CO18:CZ18)</f>
        <v>3000</v>
      </c>
      <c r="DB18" s="10"/>
      <c r="DC18" s="25">
        <v>333.33333333333331</v>
      </c>
      <c r="DD18" s="25">
        <v>333.33333333333331</v>
      </c>
      <c r="DE18" s="25">
        <v>333.33333333333331</v>
      </c>
      <c r="DF18" s="25">
        <v>333.33333333333331</v>
      </c>
      <c r="DG18" s="25">
        <v>333.33333333333331</v>
      </c>
      <c r="DH18" s="25">
        <v>333.33333333333331</v>
      </c>
      <c r="DI18" s="25">
        <v>333.33333333333331</v>
      </c>
      <c r="DJ18" s="25">
        <v>333.33333333333331</v>
      </c>
      <c r="DK18" s="25">
        <v>333.33333333333331</v>
      </c>
      <c r="DL18" s="25">
        <v>333.33333333333331</v>
      </c>
      <c r="DM18" s="25">
        <v>333.33333333333331</v>
      </c>
      <c r="DN18" s="25">
        <v>333.33333333333331</v>
      </c>
      <c r="DO18" s="25">
        <f t="shared" ref="DO18" si="193">SUM(DC18:DN18)</f>
        <v>4000.0000000000005</v>
      </c>
      <c r="DP18" s="10"/>
      <c r="DQ18" s="25">
        <f t="shared" si="60"/>
        <v>0</v>
      </c>
      <c r="DR18" s="25">
        <f t="shared" si="60"/>
        <v>0</v>
      </c>
      <c r="DS18" s="25">
        <f t="shared" si="60"/>
        <v>0</v>
      </c>
      <c r="DT18" s="25">
        <f t="shared" si="60"/>
        <v>0</v>
      </c>
      <c r="DU18" s="25">
        <f t="shared" si="60"/>
        <v>0</v>
      </c>
      <c r="DV18" s="25">
        <f t="shared" si="60"/>
        <v>0</v>
      </c>
      <c r="DW18" s="25">
        <f t="shared" si="60"/>
        <v>0</v>
      </c>
      <c r="DX18" s="25">
        <f t="shared" si="60"/>
        <v>0</v>
      </c>
      <c r="DY18" s="25">
        <f t="shared" si="60"/>
        <v>0</v>
      </c>
      <c r="DZ18" s="25">
        <f t="shared" si="60"/>
        <v>0</v>
      </c>
      <c r="EA18" s="25">
        <f t="shared" si="60"/>
        <v>0</v>
      </c>
      <c r="EB18" s="25">
        <f t="shared" si="60"/>
        <v>0</v>
      </c>
      <c r="EC18" s="25">
        <f t="shared" ref="EC18" si="194">SUM(DQ18:EB18)</f>
        <v>0</v>
      </c>
      <c r="ED18" s="10"/>
      <c r="EE18" s="25">
        <f t="shared" ref="EE18" si="195">SUM(W18,AK18,AY18,BM18,CA18)</f>
        <v>65530</v>
      </c>
      <c r="EF18" s="25">
        <f t="shared" ref="EF18" si="196">SUM(X18,AL18,AZ18,BN18,CB18)</f>
        <v>65420</v>
      </c>
      <c r="EG18" s="25">
        <f t="shared" ref="EG18" si="197">SUM(Y18,AM18,BA18,BO18,CC18)</f>
        <v>65475</v>
      </c>
      <c r="EH18" s="25">
        <f t="shared" ref="EH18" si="198">SUM(Z18,AN18,BB18,BP18,CD18)</f>
        <v>65420</v>
      </c>
      <c r="EI18" s="25">
        <f t="shared" ref="EI18" si="199">SUM(AA18,AO18,BC18,BQ18,CE18)</f>
        <v>65475</v>
      </c>
      <c r="EJ18" s="25">
        <f t="shared" ref="EJ18" si="200">SUM(AB18,AP18,BD18,BR18,CF18)</f>
        <v>65475</v>
      </c>
      <c r="EK18" s="25">
        <f t="shared" ref="EK18" si="201">SUM(AC18,AQ18,BE18,BS18,CG18)</f>
        <v>65420</v>
      </c>
      <c r="EL18" s="25">
        <f t="shared" ref="EL18" si="202">SUM(AD18,AR18,BF18,BT18,CH18)</f>
        <v>65585</v>
      </c>
      <c r="EM18" s="25">
        <f t="shared" ref="EM18" si="203">SUM(AE18,AS18,BG18,BU18,CI18)</f>
        <v>65365</v>
      </c>
      <c r="EN18" s="25">
        <f t="shared" ref="EN18" si="204">SUM(AF18,AT18,BH18,BV18,CJ18)</f>
        <v>65585</v>
      </c>
      <c r="EO18" s="25">
        <f t="shared" ref="EO18" si="205">SUM(AG18,AU18,BI18,BW18,CK18)</f>
        <v>65530</v>
      </c>
      <c r="EP18" s="25">
        <f t="shared" ref="EP18" si="206">SUM(AH18,AV18,BJ18,BX18,CL18)</f>
        <v>65310</v>
      </c>
      <c r="EQ18" s="25">
        <f t="shared" ref="EQ18" si="207">SUM(EE18:EP18)</f>
        <v>785590</v>
      </c>
      <c r="ER18" s="364"/>
    </row>
    <row r="19" spans="1:148" s="378" customFormat="1" outlineLevel="1">
      <c r="A19" s="364">
        <f t="shared" ref="A19" si="208">SUM(B19:E19)</f>
        <v>792590</v>
      </c>
      <c r="B19" s="364">
        <f t="shared" ref="B19" si="209">SUM(AI19,AW19,BK19,BY19,CM19)</f>
        <v>785590</v>
      </c>
      <c r="C19" s="364">
        <f t="shared" ref="C19" si="210">DA19</f>
        <v>3000</v>
      </c>
      <c r="D19" s="364">
        <f t="shared" ref="D19" si="211">DO19</f>
        <v>4000.0000000000005</v>
      </c>
      <c r="E19" s="364">
        <f t="shared" ref="E19" si="212">EC19</f>
        <v>0</v>
      </c>
      <c r="F19" s="365">
        <v>29000.000000000004</v>
      </c>
      <c r="G19" s="366">
        <v>139</v>
      </c>
      <c r="H19" s="375">
        <v>8200</v>
      </c>
      <c r="I19" s="376" t="s">
        <v>72</v>
      </c>
      <c r="J19" s="366">
        <v>1</v>
      </c>
      <c r="K19" s="366" t="s">
        <v>144</v>
      </c>
      <c r="L19" s="366" t="s">
        <v>146</v>
      </c>
      <c r="M19" s="377" t="s">
        <v>569</v>
      </c>
      <c r="N19" s="25">
        <v>250</v>
      </c>
      <c r="O19" s="25">
        <v>40</v>
      </c>
      <c r="P19" s="126">
        <f>N19*O19*4</f>
        <v>40000</v>
      </c>
      <c r="Q19" s="126">
        <f t="shared" ref="Q19" si="213">P19*S19</f>
        <v>8000</v>
      </c>
      <c r="R19" s="126">
        <f t="shared" ref="R19" si="214">Q19+P19</f>
        <v>48000</v>
      </c>
      <c r="S19" s="369">
        <v>0.2</v>
      </c>
      <c r="T19" s="370"/>
      <c r="U19" s="25">
        <v>3000</v>
      </c>
      <c r="V19" s="382">
        <v>120</v>
      </c>
      <c r="W19" s="25">
        <f t="shared" si="14"/>
        <v>40000</v>
      </c>
      <c r="X19" s="25">
        <f t="shared" si="14"/>
        <v>40000</v>
      </c>
      <c r="Y19" s="25">
        <f t="shared" si="14"/>
        <v>40000</v>
      </c>
      <c r="Z19" s="25">
        <f t="shared" si="14"/>
        <v>40000</v>
      </c>
      <c r="AA19" s="25">
        <f t="shared" si="14"/>
        <v>40000</v>
      </c>
      <c r="AB19" s="25">
        <f t="shared" si="14"/>
        <v>40000</v>
      </c>
      <c r="AC19" s="25">
        <f t="shared" si="14"/>
        <v>40000</v>
      </c>
      <c r="AD19" s="25">
        <f t="shared" si="14"/>
        <v>40000</v>
      </c>
      <c r="AE19" s="25">
        <f t="shared" si="14"/>
        <v>40000</v>
      </c>
      <c r="AF19" s="25">
        <f t="shared" si="14"/>
        <v>40000</v>
      </c>
      <c r="AG19" s="25">
        <f t="shared" si="14"/>
        <v>40000</v>
      </c>
      <c r="AH19" s="25">
        <f t="shared" si="14"/>
        <v>40000</v>
      </c>
      <c r="AI19" s="25">
        <f t="shared" ref="AI19" si="215">SUM(W19:AH19)</f>
        <v>480000</v>
      </c>
      <c r="AJ19" s="10"/>
      <c r="AK19" s="25">
        <f t="shared" ref="AK19" si="216">W19*$S19</f>
        <v>8000</v>
      </c>
      <c r="AL19" s="25">
        <f t="shared" ref="AL19" si="217">X19*$S19</f>
        <v>8000</v>
      </c>
      <c r="AM19" s="25">
        <f t="shared" ref="AM19" si="218">Y19*$S19</f>
        <v>8000</v>
      </c>
      <c r="AN19" s="25">
        <f t="shared" ref="AN19" si="219">Z19*$S19</f>
        <v>8000</v>
      </c>
      <c r="AO19" s="25">
        <f t="shared" ref="AO19" si="220">AA19*$S19</f>
        <v>8000</v>
      </c>
      <c r="AP19" s="25">
        <f t="shared" ref="AP19" si="221">AB19*$S19</f>
        <v>8000</v>
      </c>
      <c r="AQ19" s="25">
        <f t="shared" ref="AQ19" si="222">AC19*$S19</f>
        <v>8000</v>
      </c>
      <c r="AR19" s="25">
        <f t="shared" ref="AR19" si="223">AD19*$S19</f>
        <v>8000</v>
      </c>
      <c r="AS19" s="25">
        <f t="shared" ref="AS19" si="224">AE19*$S19</f>
        <v>8000</v>
      </c>
      <c r="AT19" s="25">
        <f t="shared" ref="AT19" si="225">AF19*$S19</f>
        <v>8000</v>
      </c>
      <c r="AU19" s="25">
        <f t="shared" ref="AU19" si="226">AG19*$S19</f>
        <v>8000</v>
      </c>
      <c r="AV19" s="25">
        <f t="shared" ref="AV19" si="227">AH19*$S19</f>
        <v>8000</v>
      </c>
      <c r="AW19" s="25">
        <f t="shared" ref="AW19" si="228">SUM(AK19:AV19)</f>
        <v>96000</v>
      </c>
      <c r="AX19" s="10"/>
      <c r="AY19" s="25">
        <f t="shared" si="163"/>
        <v>1210</v>
      </c>
      <c r="AZ19" s="25">
        <f t="shared" si="163"/>
        <v>1100</v>
      </c>
      <c r="BA19" s="25">
        <f t="shared" si="163"/>
        <v>1155</v>
      </c>
      <c r="BB19" s="25">
        <f t="shared" si="163"/>
        <v>1100</v>
      </c>
      <c r="BC19" s="25">
        <f t="shared" si="163"/>
        <v>1155</v>
      </c>
      <c r="BD19" s="25">
        <f t="shared" si="163"/>
        <v>1155</v>
      </c>
      <c r="BE19" s="25">
        <f t="shared" si="163"/>
        <v>1100</v>
      </c>
      <c r="BF19" s="25">
        <f t="shared" si="163"/>
        <v>1265</v>
      </c>
      <c r="BG19" s="25">
        <f t="shared" si="163"/>
        <v>1045</v>
      </c>
      <c r="BH19" s="25">
        <f t="shared" si="163"/>
        <v>1265</v>
      </c>
      <c r="BI19" s="25">
        <f t="shared" si="163"/>
        <v>1210</v>
      </c>
      <c r="BJ19" s="25">
        <f t="shared" si="163"/>
        <v>990</v>
      </c>
      <c r="BK19" s="25">
        <f t="shared" ref="BK19" si="229">SUM(AY19:BJ19)</f>
        <v>13750</v>
      </c>
      <c r="BL19" s="10"/>
      <c r="BM19" s="25">
        <f t="shared" ref="BM19" si="230">SUM(W19,AK19)*25%</f>
        <v>12000</v>
      </c>
      <c r="BN19" s="25">
        <f t="shared" ref="BN19" si="231">SUM(X19,AL19)*25%</f>
        <v>12000</v>
      </c>
      <c r="BO19" s="25">
        <f t="shared" ref="BO19" si="232">SUM(Y19,AM19)*25%</f>
        <v>12000</v>
      </c>
      <c r="BP19" s="25">
        <f t="shared" ref="BP19" si="233">SUM(Z19,AN19)*25%</f>
        <v>12000</v>
      </c>
      <c r="BQ19" s="25">
        <f t="shared" ref="BQ19" si="234">SUM(AA19,AO19)*25%</f>
        <v>12000</v>
      </c>
      <c r="BR19" s="25">
        <f t="shared" ref="BR19" si="235">SUM(AB19,AP19)*25%</f>
        <v>12000</v>
      </c>
      <c r="BS19" s="25">
        <f t="shared" ref="BS19" si="236">SUM(AC19,AQ19)*25%</f>
        <v>12000</v>
      </c>
      <c r="BT19" s="25">
        <f t="shared" ref="BT19" si="237">SUM(AD19,AR19)*25%</f>
        <v>12000</v>
      </c>
      <c r="BU19" s="25">
        <f t="shared" ref="BU19" si="238">SUM(AE19,AS19)*25%</f>
        <v>12000</v>
      </c>
      <c r="BV19" s="25">
        <f t="shared" ref="BV19" si="239">SUM(AF19,AT19)*25%</f>
        <v>12000</v>
      </c>
      <c r="BW19" s="25">
        <f t="shared" ref="BW19" si="240">SUM(AG19,AU19)*25%</f>
        <v>12000</v>
      </c>
      <c r="BX19" s="25">
        <f t="shared" ref="BX19" si="241">SUM(AH19,AV19)*25%</f>
        <v>12000</v>
      </c>
      <c r="BY19" s="25">
        <f t="shared" ref="BY19" si="242">SUM(BM19:BX19)</f>
        <v>144000</v>
      </c>
      <c r="BZ19" s="10"/>
      <c r="CA19" s="25">
        <f t="shared" ref="CA19" si="243">SUM(W19,AK19)*9%</f>
        <v>4320</v>
      </c>
      <c r="CB19" s="25">
        <f t="shared" ref="CB19" si="244">SUM(X19,AL19)*9%</f>
        <v>4320</v>
      </c>
      <c r="CC19" s="25">
        <f t="shared" ref="CC19" si="245">SUM(Y19,AM19)*9%</f>
        <v>4320</v>
      </c>
      <c r="CD19" s="25">
        <f t="shared" ref="CD19" si="246">SUM(Z19,AN19)*9%</f>
        <v>4320</v>
      </c>
      <c r="CE19" s="25">
        <f t="shared" ref="CE19" si="247">SUM(AA19,AO19)*9%</f>
        <v>4320</v>
      </c>
      <c r="CF19" s="25">
        <f t="shared" ref="CF19" si="248">SUM(AB19,AP19)*9%</f>
        <v>4320</v>
      </c>
      <c r="CG19" s="25">
        <f t="shared" ref="CG19" si="249">SUM(AC19,AQ19)*9%</f>
        <v>4320</v>
      </c>
      <c r="CH19" s="25">
        <f t="shared" ref="CH19" si="250">SUM(AD19,AR19)*9%</f>
        <v>4320</v>
      </c>
      <c r="CI19" s="25">
        <f t="shared" ref="CI19" si="251">SUM(AE19,AS19)*9%</f>
        <v>4320</v>
      </c>
      <c r="CJ19" s="25">
        <f t="shared" ref="CJ19" si="252">SUM(AF19,AT19)*9%</f>
        <v>4320</v>
      </c>
      <c r="CK19" s="25">
        <f t="shared" ref="CK19" si="253">SUM(AG19,AU19)*9%</f>
        <v>4320</v>
      </c>
      <c r="CL19" s="25">
        <f t="shared" ref="CL19" si="254">SUM(AH19,AV19)*9%</f>
        <v>4320</v>
      </c>
      <c r="CM19" s="25">
        <f t="shared" ref="CM19" si="255">SUM(CA19:CL19)</f>
        <v>51840</v>
      </c>
      <c r="CN19" s="10"/>
      <c r="CO19" s="25"/>
      <c r="CP19" s="25"/>
      <c r="CQ19" s="25">
        <f t="shared" si="191"/>
        <v>3000</v>
      </c>
      <c r="CR19" s="25"/>
      <c r="CS19" s="25"/>
      <c r="CT19" s="25"/>
      <c r="CU19" s="25"/>
      <c r="CV19" s="25"/>
      <c r="CW19" s="25"/>
      <c r="CX19" s="25"/>
      <c r="CY19" s="25"/>
      <c r="CZ19" s="25"/>
      <c r="DA19" s="25">
        <f t="shared" ref="DA19" si="256">SUM(CO19:CZ19)</f>
        <v>3000</v>
      </c>
      <c r="DB19" s="10"/>
      <c r="DC19" s="25">
        <v>333.33333333333331</v>
      </c>
      <c r="DD19" s="25">
        <v>333.33333333333331</v>
      </c>
      <c r="DE19" s="25">
        <v>333.33333333333331</v>
      </c>
      <c r="DF19" s="25">
        <v>333.33333333333331</v>
      </c>
      <c r="DG19" s="25">
        <v>333.33333333333331</v>
      </c>
      <c r="DH19" s="25">
        <v>333.33333333333331</v>
      </c>
      <c r="DI19" s="25">
        <v>333.33333333333331</v>
      </c>
      <c r="DJ19" s="25">
        <v>333.33333333333331</v>
      </c>
      <c r="DK19" s="25">
        <v>333.33333333333331</v>
      </c>
      <c r="DL19" s="25">
        <v>333.33333333333331</v>
      </c>
      <c r="DM19" s="25">
        <v>333.33333333333331</v>
      </c>
      <c r="DN19" s="25">
        <v>333.33333333333331</v>
      </c>
      <c r="DO19" s="25">
        <f t="shared" ref="DO19" si="257">SUM(DC19:DN19)</f>
        <v>4000.0000000000005</v>
      </c>
      <c r="DP19" s="10"/>
      <c r="DQ19" s="25">
        <f t="shared" si="60"/>
        <v>0</v>
      </c>
      <c r="DR19" s="25">
        <f t="shared" si="60"/>
        <v>0</v>
      </c>
      <c r="DS19" s="25">
        <f t="shared" si="60"/>
        <v>0</v>
      </c>
      <c r="DT19" s="25">
        <f t="shared" si="60"/>
        <v>0</v>
      </c>
      <c r="DU19" s="25">
        <f t="shared" si="60"/>
        <v>0</v>
      </c>
      <c r="DV19" s="25">
        <f t="shared" si="60"/>
        <v>0</v>
      </c>
      <c r="DW19" s="25">
        <f t="shared" si="60"/>
        <v>0</v>
      </c>
      <c r="DX19" s="25">
        <f t="shared" si="60"/>
        <v>0</v>
      </c>
      <c r="DY19" s="25">
        <f t="shared" si="60"/>
        <v>0</v>
      </c>
      <c r="DZ19" s="25">
        <f t="shared" si="60"/>
        <v>0</v>
      </c>
      <c r="EA19" s="25">
        <f t="shared" si="60"/>
        <v>0</v>
      </c>
      <c r="EB19" s="25">
        <f t="shared" si="60"/>
        <v>0</v>
      </c>
      <c r="EC19" s="25">
        <f t="shared" ref="EC19" si="258">SUM(DQ19:EB19)</f>
        <v>0</v>
      </c>
      <c r="ED19" s="10"/>
      <c r="EE19" s="25">
        <f t="shared" ref="EE19" si="259">SUM(W19,AK19,AY19,BM19,CA19)</f>
        <v>65530</v>
      </c>
      <c r="EF19" s="25">
        <f t="shared" ref="EF19" si="260">SUM(X19,AL19,AZ19,BN19,CB19)</f>
        <v>65420</v>
      </c>
      <c r="EG19" s="25">
        <f t="shared" ref="EG19" si="261">SUM(Y19,AM19,BA19,BO19,CC19)</f>
        <v>65475</v>
      </c>
      <c r="EH19" s="25">
        <f t="shared" ref="EH19" si="262">SUM(Z19,AN19,BB19,BP19,CD19)</f>
        <v>65420</v>
      </c>
      <c r="EI19" s="25">
        <f t="shared" ref="EI19" si="263">SUM(AA19,AO19,BC19,BQ19,CE19)</f>
        <v>65475</v>
      </c>
      <c r="EJ19" s="25">
        <f t="shared" ref="EJ19" si="264">SUM(AB19,AP19,BD19,BR19,CF19)</f>
        <v>65475</v>
      </c>
      <c r="EK19" s="25">
        <f t="shared" ref="EK19" si="265">SUM(AC19,AQ19,BE19,BS19,CG19)</f>
        <v>65420</v>
      </c>
      <c r="EL19" s="25">
        <f t="shared" ref="EL19" si="266">SUM(AD19,AR19,BF19,BT19,CH19)</f>
        <v>65585</v>
      </c>
      <c r="EM19" s="25">
        <f t="shared" ref="EM19" si="267">SUM(AE19,AS19,BG19,BU19,CI19)</f>
        <v>65365</v>
      </c>
      <c r="EN19" s="25">
        <f t="shared" ref="EN19" si="268">SUM(AF19,AT19,BH19,BV19,CJ19)</f>
        <v>65585</v>
      </c>
      <c r="EO19" s="25">
        <f t="shared" ref="EO19" si="269">SUM(AG19,AU19,BI19,BW19,CK19)</f>
        <v>65530</v>
      </c>
      <c r="EP19" s="25">
        <f t="shared" ref="EP19" si="270">SUM(AH19,AV19,BJ19,BX19,CL19)</f>
        <v>65310</v>
      </c>
      <c r="EQ19" s="25">
        <f t="shared" ref="EQ19" si="271">SUM(EE19:EP19)</f>
        <v>785590</v>
      </c>
      <c r="ER19" s="364"/>
    </row>
    <row r="20" spans="1:148" s="378" customFormat="1" outlineLevel="1">
      <c r="A20" s="364">
        <f t="shared" ref="A20:A25" si="272">SUM(B20:E20)</f>
        <v>792590</v>
      </c>
      <c r="B20" s="364">
        <f t="shared" ref="B20:B25" si="273">SUM(AI20,AW20,BK20,BY20,CM20)</f>
        <v>785590</v>
      </c>
      <c r="C20" s="364">
        <f t="shared" ref="C20:C25" si="274">DA20</f>
        <v>3000</v>
      </c>
      <c r="D20" s="364">
        <f t="shared" ref="D20:D25" si="275">DO20</f>
        <v>4000.0000000000005</v>
      </c>
      <c r="E20" s="364">
        <f t="shared" ref="E20:E25" si="276">EC20</f>
        <v>0</v>
      </c>
      <c r="F20" s="365">
        <v>29000.000000000004</v>
      </c>
      <c r="G20" s="366">
        <v>139</v>
      </c>
      <c r="H20" s="375">
        <v>8200</v>
      </c>
      <c r="I20" s="376" t="s">
        <v>72</v>
      </c>
      <c r="J20" s="366">
        <v>1</v>
      </c>
      <c r="K20" s="366" t="s">
        <v>144</v>
      </c>
      <c r="L20" s="366" t="s">
        <v>146</v>
      </c>
      <c r="M20" s="377" t="s">
        <v>569</v>
      </c>
      <c r="N20" s="25">
        <v>250</v>
      </c>
      <c r="O20" s="25">
        <v>40</v>
      </c>
      <c r="P20" s="126">
        <f>N20*O20*4</f>
        <v>40000</v>
      </c>
      <c r="Q20" s="126">
        <f t="shared" ref="Q20:Q25" si="277">P20*S20</f>
        <v>8000</v>
      </c>
      <c r="R20" s="126">
        <f t="shared" ref="R20:R25" si="278">Q20+P20</f>
        <v>48000</v>
      </c>
      <c r="S20" s="369">
        <v>0.2</v>
      </c>
      <c r="T20" s="370"/>
      <c r="U20" s="25">
        <v>3000</v>
      </c>
      <c r="V20" s="382">
        <v>120</v>
      </c>
      <c r="W20" s="25">
        <f t="shared" si="14"/>
        <v>40000</v>
      </c>
      <c r="X20" s="25">
        <f t="shared" si="14"/>
        <v>40000</v>
      </c>
      <c r="Y20" s="25">
        <f t="shared" si="14"/>
        <v>40000</v>
      </c>
      <c r="Z20" s="25">
        <f t="shared" si="14"/>
        <v>40000</v>
      </c>
      <c r="AA20" s="25">
        <f t="shared" si="14"/>
        <v>40000</v>
      </c>
      <c r="AB20" s="25">
        <f t="shared" si="14"/>
        <v>40000</v>
      </c>
      <c r="AC20" s="25">
        <f t="shared" si="14"/>
        <v>40000</v>
      </c>
      <c r="AD20" s="25">
        <f t="shared" si="14"/>
        <v>40000</v>
      </c>
      <c r="AE20" s="25">
        <f t="shared" si="14"/>
        <v>40000</v>
      </c>
      <c r="AF20" s="25">
        <f t="shared" si="14"/>
        <v>40000</v>
      </c>
      <c r="AG20" s="25">
        <f t="shared" si="14"/>
        <v>40000</v>
      </c>
      <c r="AH20" s="25">
        <f t="shared" si="14"/>
        <v>40000</v>
      </c>
      <c r="AI20" s="25">
        <f t="shared" ref="AI20:AI25" si="279">SUM(W20:AH20)</f>
        <v>480000</v>
      </c>
      <c r="AJ20" s="10"/>
      <c r="AK20" s="25">
        <f t="shared" ref="AK20:AK25" si="280">W20*$S20</f>
        <v>8000</v>
      </c>
      <c r="AL20" s="25">
        <f t="shared" ref="AL20:AL25" si="281">X20*$S20</f>
        <v>8000</v>
      </c>
      <c r="AM20" s="25">
        <f t="shared" ref="AM20:AM25" si="282">Y20*$S20</f>
        <v>8000</v>
      </c>
      <c r="AN20" s="25">
        <f t="shared" ref="AN20:AN25" si="283">Z20*$S20</f>
        <v>8000</v>
      </c>
      <c r="AO20" s="25">
        <f t="shared" ref="AO20:AO25" si="284">AA20*$S20</f>
        <v>8000</v>
      </c>
      <c r="AP20" s="25">
        <f t="shared" ref="AP20:AP25" si="285">AB20*$S20</f>
        <v>8000</v>
      </c>
      <c r="AQ20" s="25">
        <f t="shared" ref="AQ20:AQ25" si="286">AC20*$S20</f>
        <v>8000</v>
      </c>
      <c r="AR20" s="25">
        <f t="shared" ref="AR20:AR25" si="287">AD20*$S20</f>
        <v>8000</v>
      </c>
      <c r="AS20" s="25">
        <f t="shared" ref="AS20:AS25" si="288">AE20*$S20</f>
        <v>8000</v>
      </c>
      <c r="AT20" s="25">
        <f t="shared" ref="AT20:AT25" si="289">AF20*$S20</f>
        <v>8000</v>
      </c>
      <c r="AU20" s="25">
        <f t="shared" ref="AU20:AU25" si="290">AG20*$S20</f>
        <v>8000</v>
      </c>
      <c r="AV20" s="25">
        <f t="shared" ref="AV20:AV25" si="291">AH20*$S20</f>
        <v>8000</v>
      </c>
      <c r="AW20" s="25">
        <f t="shared" ref="AW20:AW25" si="292">SUM(AK20:AV20)</f>
        <v>96000</v>
      </c>
      <c r="AX20" s="10"/>
      <c r="AY20" s="25">
        <f t="shared" si="163"/>
        <v>1210</v>
      </c>
      <c r="AZ20" s="25">
        <f t="shared" si="163"/>
        <v>1100</v>
      </c>
      <c r="BA20" s="25">
        <f t="shared" si="163"/>
        <v>1155</v>
      </c>
      <c r="BB20" s="25">
        <f t="shared" si="163"/>
        <v>1100</v>
      </c>
      <c r="BC20" s="25">
        <f t="shared" si="163"/>
        <v>1155</v>
      </c>
      <c r="BD20" s="25">
        <f t="shared" si="163"/>
        <v>1155</v>
      </c>
      <c r="BE20" s="25">
        <f t="shared" si="163"/>
        <v>1100</v>
      </c>
      <c r="BF20" s="25">
        <f t="shared" si="163"/>
        <v>1265</v>
      </c>
      <c r="BG20" s="25">
        <f t="shared" si="163"/>
        <v>1045</v>
      </c>
      <c r="BH20" s="25">
        <f t="shared" si="163"/>
        <v>1265</v>
      </c>
      <c r="BI20" s="25">
        <f t="shared" si="163"/>
        <v>1210</v>
      </c>
      <c r="BJ20" s="25">
        <f t="shared" si="163"/>
        <v>990</v>
      </c>
      <c r="BK20" s="25">
        <f t="shared" ref="BK20:BK25" si="293">SUM(AY20:BJ20)</f>
        <v>13750</v>
      </c>
      <c r="BL20" s="10"/>
      <c r="BM20" s="25">
        <f t="shared" ref="BM20:BM25" si="294">SUM(W20,AK20)*25%</f>
        <v>12000</v>
      </c>
      <c r="BN20" s="25">
        <f t="shared" ref="BN20:BN25" si="295">SUM(X20,AL20)*25%</f>
        <v>12000</v>
      </c>
      <c r="BO20" s="25">
        <f t="shared" ref="BO20:BO25" si="296">SUM(Y20,AM20)*25%</f>
        <v>12000</v>
      </c>
      <c r="BP20" s="25">
        <f t="shared" ref="BP20:BP25" si="297">SUM(Z20,AN20)*25%</f>
        <v>12000</v>
      </c>
      <c r="BQ20" s="25">
        <f t="shared" ref="BQ20:BQ25" si="298">SUM(AA20,AO20)*25%</f>
        <v>12000</v>
      </c>
      <c r="BR20" s="25">
        <f t="shared" ref="BR20:BR25" si="299">SUM(AB20,AP20)*25%</f>
        <v>12000</v>
      </c>
      <c r="BS20" s="25">
        <f t="shared" ref="BS20:BS25" si="300">SUM(AC20,AQ20)*25%</f>
        <v>12000</v>
      </c>
      <c r="BT20" s="25">
        <f t="shared" ref="BT20:BT25" si="301">SUM(AD20,AR20)*25%</f>
        <v>12000</v>
      </c>
      <c r="BU20" s="25">
        <f t="shared" ref="BU20:BU25" si="302">SUM(AE20,AS20)*25%</f>
        <v>12000</v>
      </c>
      <c r="BV20" s="25">
        <f t="shared" ref="BV20:BV25" si="303">SUM(AF20,AT20)*25%</f>
        <v>12000</v>
      </c>
      <c r="BW20" s="25">
        <f t="shared" ref="BW20:BW25" si="304">SUM(AG20,AU20)*25%</f>
        <v>12000</v>
      </c>
      <c r="BX20" s="25">
        <f t="shared" ref="BX20:BX25" si="305">SUM(AH20,AV20)*25%</f>
        <v>12000</v>
      </c>
      <c r="BY20" s="25">
        <f t="shared" ref="BY20:BY25" si="306">SUM(BM20:BX20)</f>
        <v>144000</v>
      </c>
      <c r="BZ20" s="10"/>
      <c r="CA20" s="25">
        <f t="shared" ref="CA20:CA25" si="307">SUM(W20,AK20)*9%</f>
        <v>4320</v>
      </c>
      <c r="CB20" s="25">
        <f t="shared" ref="CB20:CB25" si="308">SUM(X20,AL20)*9%</f>
        <v>4320</v>
      </c>
      <c r="CC20" s="25">
        <f t="shared" ref="CC20:CC25" si="309">SUM(Y20,AM20)*9%</f>
        <v>4320</v>
      </c>
      <c r="CD20" s="25">
        <f t="shared" ref="CD20:CD25" si="310">SUM(Z20,AN20)*9%</f>
        <v>4320</v>
      </c>
      <c r="CE20" s="25">
        <f t="shared" ref="CE20:CE25" si="311">SUM(AA20,AO20)*9%</f>
        <v>4320</v>
      </c>
      <c r="CF20" s="25">
        <f t="shared" ref="CF20:CF25" si="312">SUM(AB20,AP20)*9%</f>
        <v>4320</v>
      </c>
      <c r="CG20" s="25">
        <f t="shared" ref="CG20:CG25" si="313">SUM(AC20,AQ20)*9%</f>
        <v>4320</v>
      </c>
      <c r="CH20" s="25">
        <f t="shared" ref="CH20:CH25" si="314">SUM(AD20,AR20)*9%</f>
        <v>4320</v>
      </c>
      <c r="CI20" s="25">
        <f t="shared" ref="CI20:CI25" si="315">SUM(AE20,AS20)*9%</f>
        <v>4320</v>
      </c>
      <c r="CJ20" s="25">
        <f t="shared" ref="CJ20:CJ25" si="316">SUM(AF20,AT20)*9%</f>
        <v>4320</v>
      </c>
      <c r="CK20" s="25">
        <f t="shared" ref="CK20:CK25" si="317">SUM(AG20,AU20)*9%</f>
        <v>4320</v>
      </c>
      <c r="CL20" s="25">
        <f t="shared" ref="CL20:CL25" si="318">SUM(AH20,AV20)*9%</f>
        <v>4320</v>
      </c>
      <c r="CM20" s="25">
        <f t="shared" ref="CM20:CM25" si="319">SUM(CA20:CL20)</f>
        <v>51840</v>
      </c>
      <c r="CN20" s="10"/>
      <c r="CO20" s="25"/>
      <c r="CP20" s="25"/>
      <c r="CQ20" s="25">
        <f t="shared" si="191"/>
        <v>3000</v>
      </c>
      <c r="CR20" s="25"/>
      <c r="CS20" s="25"/>
      <c r="CT20" s="25"/>
      <c r="CU20" s="25"/>
      <c r="CV20" s="25"/>
      <c r="CW20" s="25"/>
      <c r="CX20" s="25"/>
      <c r="CY20" s="25"/>
      <c r="CZ20" s="25"/>
      <c r="DA20" s="25">
        <f t="shared" ref="DA20:DA25" si="320">SUM(CO20:CZ20)</f>
        <v>3000</v>
      </c>
      <c r="DB20" s="10"/>
      <c r="DC20" s="25">
        <v>333.33333333333331</v>
      </c>
      <c r="DD20" s="25">
        <v>333.33333333333331</v>
      </c>
      <c r="DE20" s="25">
        <v>333.33333333333331</v>
      </c>
      <c r="DF20" s="25">
        <v>333.33333333333331</v>
      </c>
      <c r="DG20" s="25">
        <v>333.33333333333331</v>
      </c>
      <c r="DH20" s="25">
        <v>333.33333333333331</v>
      </c>
      <c r="DI20" s="25">
        <v>333.33333333333331</v>
      </c>
      <c r="DJ20" s="25">
        <v>333.33333333333331</v>
      </c>
      <c r="DK20" s="25">
        <v>333.33333333333331</v>
      </c>
      <c r="DL20" s="25">
        <v>333.33333333333331</v>
      </c>
      <c r="DM20" s="25">
        <v>333.33333333333331</v>
      </c>
      <c r="DN20" s="25">
        <v>333.33333333333331</v>
      </c>
      <c r="DO20" s="25">
        <f t="shared" ref="DO20:DO25" si="321">SUM(DC20:DN20)</f>
        <v>4000.0000000000005</v>
      </c>
      <c r="DP20" s="10"/>
      <c r="DQ20" s="25">
        <f t="shared" si="60"/>
        <v>0</v>
      </c>
      <c r="DR20" s="25">
        <f t="shared" si="60"/>
        <v>0</v>
      </c>
      <c r="DS20" s="25">
        <f t="shared" si="60"/>
        <v>0</v>
      </c>
      <c r="DT20" s="25">
        <f t="shared" si="60"/>
        <v>0</v>
      </c>
      <c r="DU20" s="25">
        <f t="shared" si="60"/>
        <v>0</v>
      </c>
      <c r="DV20" s="25">
        <f t="shared" si="60"/>
        <v>0</v>
      </c>
      <c r="DW20" s="25">
        <f t="shared" si="60"/>
        <v>0</v>
      </c>
      <c r="DX20" s="25">
        <f t="shared" si="60"/>
        <v>0</v>
      </c>
      <c r="DY20" s="25">
        <f t="shared" si="60"/>
        <v>0</v>
      </c>
      <c r="DZ20" s="25">
        <f t="shared" si="60"/>
        <v>0</v>
      </c>
      <c r="EA20" s="25">
        <f t="shared" si="60"/>
        <v>0</v>
      </c>
      <c r="EB20" s="25">
        <f t="shared" si="60"/>
        <v>0</v>
      </c>
      <c r="EC20" s="25">
        <f t="shared" ref="EC20:EC25" si="322">SUM(DQ20:EB20)</f>
        <v>0</v>
      </c>
      <c r="ED20" s="10"/>
      <c r="EE20" s="25">
        <f t="shared" ref="EE20:EE25" si="323">SUM(W20,AK20,AY20,BM20,CA20)</f>
        <v>65530</v>
      </c>
      <c r="EF20" s="25">
        <f t="shared" ref="EF20:EF25" si="324">SUM(X20,AL20,AZ20,BN20,CB20)</f>
        <v>65420</v>
      </c>
      <c r="EG20" s="25">
        <f t="shared" ref="EG20:EG25" si="325">SUM(Y20,AM20,BA20,BO20,CC20)</f>
        <v>65475</v>
      </c>
      <c r="EH20" s="25">
        <f t="shared" ref="EH20:EH25" si="326">SUM(Z20,AN20,BB20,BP20,CD20)</f>
        <v>65420</v>
      </c>
      <c r="EI20" s="25">
        <f t="shared" ref="EI20:EI25" si="327">SUM(AA20,AO20,BC20,BQ20,CE20)</f>
        <v>65475</v>
      </c>
      <c r="EJ20" s="25">
        <f t="shared" ref="EJ20:EJ25" si="328">SUM(AB20,AP20,BD20,BR20,CF20)</f>
        <v>65475</v>
      </c>
      <c r="EK20" s="25">
        <f t="shared" ref="EK20:EK25" si="329">SUM(AC20,AQ20,BE20,BS20,CG20)</f>
        <v>65420</v>
      </c>
      <c r="EL20" s="25">
        <f t="shared" ref="EL20:EL25" si="330">SUM(AD20,AR20,BF20,BT20,CH20)</f>
        <v>65585</v>
      </c>
      <c r="EM20" s="25">
        <f t="shared" ref="EM20:EM25" si="331">SUM(AE20,AS20,BG20,BU20,CI20)</f>
        <v>65365</v>
      </c>
      <c r="EN20" s="25">
        <f t="shared" ref="EN20:EN25" si="332">SUM(AF20,AT20,BH20,BV20,CJ20)</f>
        <v>65585</v>
      </c>
      <c r="EO20" s="25">
        <f t="shared" ref="EO20:EO25" si="333">SUM(AG20,AU20,BI20,BW20,CK20)</f>
        <v>65530</v>
      </c>
      <c r="EP20" s="25">
        <f t="shared" ref="EP20:EP25" si="334">SUM(AH20,AV20,BJ20,BX20,CL20)</f>
        <v>65310</v>
      </c>
      <c r="EQ20" s="25">
        <f t="shared" ref="EQ20:EQ25" si="335">SUM(EE20:EP20)</f>
        <v>785590</v>
      </c>
      <c r="ER20" s="364"/>
    </row>
    <row r="21" spans="1:148" s="378" customFormat="1" outlineLevel="1">
      <c r="A21" s="364">
        <f t="shared" ref="A21:A23" si="336">SUM(B21:E21)</f>
        <v>607348.4</v>
      </c>
      <c r="B21" s="364">
        <f t="shared" ref="B21:B23" si="337">SUM(AI21,AW21,BK21,BY21,CM21)</f>
        <v>600348.4</v>
      </c>
      <c r="C21" s="364">
        <f t="shared" ref="C21:C23" si="338">DA21</f>
        <v>3000</v>
      </c>
      <c r="D21" s="364">
        <f t="shared" ref="D21:D23" si="339">DO21</f>
        <v>4000.0000000000005</v>
      </c>
      <c r="E21" s="364">
        <f t="shared" ref="E21:E23" si="340">EC21</f>
        <v>0</v>
      </c>
      <c r="F21" s="365">
        <v>29000.000000000004</v>
      </c>
      <c r="G21" s="366">
        <v>139</v>
      </c>
      <c r="H21" s="375">
        <v>8200</v>
      </c>
      <c r="I21" s="376" t="s">
        <v>72</v>
      </c>
      <c r="J21" s="366">
        <v>1</v>
      </c>
      <c r="K21" s="366" t="s">
        <v>144</v>
      </c>
      <c r="L21" s="366" t="s">
        <v>146</v>
      </c>
      <c r="M21" s="377" t="s">
        <v>393</v>
      </c>
      <c r="N21" s="25">
        <v>190</v>
      </c>
      <c r="O21" s="25">
        <v>40</v>
      </c>
      <c r="P21" s="126">
        <f t="shared" ref="P21:P23" si="341">N21*O21*4</f>
        <v>30400</v>
      </c>
      <c r="Q21" s="126">
        <f t="shared" ref="Q21:Q23" si="342">P21*S21</f>
        <v>6080</v>
      </c>
      <c r="R21" s="126">
        <f t="shared" ref="R21:R23" si="343">Q21+P21</f>
        <v>36480</v>
      </c>
      <c r="S21" s="369">
        <v>0.2</v>
      </c>
      <c r="T21" s="370"/>
      <c r="U21" s="25">
        <v>3000</v>
      </c>
      <c r="V21" s="382">
        <v>120</v>
      </c>
      <c r="W21" s="25">
        <f t="shared" si="14"/>
        <v>30400</v>
      </c>
      <c r="X21" s="25">
        <f t="shared" si="14"/>
        <v>30400</v>
      </c>
      <c r="Y21" s="25">
        <f t="shared" si="14"/>
        <v>30400</v>
      </c>
      <c r="Z21" s="25">
        <f t="shared" ref="W21:AH23" si="344">$P21</f>
        <v>30400</v>
      </c>
      <c r="AA21" s="25">
        <f t="shared" si="344"/>
        <v>30400</v>
      </c>
      <c r="AB21" s="25">
        <f t="shared" si="344"/>
        <v>30400</v>
      </c>
      <c r="AC21" s="25">
        <f t="shared" si="344"/>
        <v>30400</v>
      </c>
      <c r="AD21" s="25">
        <f t="shared" si="344"/>
        <v>30400</v>
      </c>
      <c r="AE21" s="25">
        <f t="shared" si="344"/>
        <v>30400</v>
      </c>
      <c r="AF21" s="25">
        <f t="shared" si="344"/>
        <v>30400</v>
      </c>
      <c r="AG21" s="25">
        <f t="shared" si="344"/>
        <v>30400</v>
      </c>
      <c r="AH21" s="25">
        <f t="shared" si="344"/>
        <v>30400</v>
      </c>
      <c r="AI21" s="25">
        <f t="shared" ref="AI21:AI23" si="345">SUM(W21:AH21)</f>
        <v>364800</v>
      </c>
      <c r="AJ21" s="10"/>
      <c r="AK21" s="25">
        <f t="shared" ref="AK21:AK23" si="346">W21*$S21</f>
        <v>6080</v>
      </c>
      <c r="AL21" s="25">
        <f t="shared" ref="AL21:AL23" si="347">X21*$S21</f>
        <v>6080</v>
      </c>
      <c r="AM21" s="25">
        <f t="shared" ref="AM21:AM23" si="348">Y21*$S21</f>
        <v>6080</v>
      </c>
      <c r="AN21" s="25">
        <f t="shared" ref="AN21:AN23" si="349">Z21*$S21</f>
        <v>6080</v>
      </c>
      <c r="AO21" s="25">
        <f t="shared" ref="AO21:AO23" si="350">AA21*$S21</f>
        <v>6080</v>
      </c>
      <c r="AP21" s="25">
        <f t="shared" ref="AP21:AP23" si="351">AB21*$S21</f>
        <v>6080</v>
      </c>
      <c r="AQ21" s="25">
        <f t="shared" ref="AQ21:AQ23" si="352">AC21*$S21</f>
        <v>6080</v>
      </c>
      <c r="AR21" s="25">
        <f t="shared" ref="AR21:AR23" si="353">AD21*$S21</f>
        <v>6080</v>
      </c>
      <c r="AS21" s="25">
        <f t="shared" ref="AS21:AS23" si="354">AE21*$S21</f>
        <v>6080</v>
      </c>
      <c r="AT21" s="25">
        <f t="shared" ref="AT21:AT23" si="355">AF21*$S21</f>
        <v>6080</v>
      </c>
      <c r="AU21" s="25">
        <f t="shared" ref="AU21:AU23" si="356">AG21*$S21</f>
        <v>6080</v>
      </c>
      <c r="AV21" s="25">
        <f t="shared" ref="AV21:AV23" si="357">AH21*$S21</f>
        <v>6080</v>
      </c>
      <c r="AW21" s="25">
        <f t="shared" ref="AW21:AW23" si="358">SUM(AK21:AV21)</f>
        <v>72960</v>
      </c>
      <c r="AX21" s="10"/>
      <c r="AY21" s="25">
        <f t="shared" si="163"/>
        <v>1210</v>
      </c>
      <c r="AZ21" s="25">
        <f t="shared" si="163"/>
        <v>1100</v>
      </c>
      <c r="BA21" s="25">
        <f t="shared" si="163"/>
        <v>1155</v>
      </c>
      <c r="BB21" s="25">
        <f t="shared" si="163"/>
        <v>1100</v>
      </c>
      <c r="BC21" s="25">
        <f t="shared" si="163"/>
        <v>1155</v>
      </c>
      <c r="BD21" s="25">
        <f t="shared" si="163"/>
        <v>1155</v>
      </c>
      <c r="BE21" s="25">
        <f t="shared" si="163"/>
        <v>1100</v>
      </c>
      <c r="BF21" s="25">
        <f t="shared" si="163"/>
        <v>1265</v>
      </c>
      <c r="BG21" s="25">
        <f t="shared" si="163"/>
        <v>1045</v>
      </c>
      <c r="BH21" s="25">
        <f t="shared" si="163"/>
        <v>1265</v>
      </c>
      <c r="BI21" s="25">
        <f t="shared" si="163"/>
        <v>1210</v>
      </c>
      <c r="BJ21" s="25">
        <f t="shared" si="163"/>
        <v>990</v>
      </c>
      <c r="BK21" s="25">
        <f t="shared" ref="BK21:BK23" si="359">SUM(AY21:BJ21)</f>
        <v>13750</v>
      </c>
      <c r="BL21" s="10"/>
      <c r="BM21" s="25">
        <f t="shared" ref="BM21:BM23" si="360">SUM(W21,AK21)*25%</f>
        <v>9120</v>
      </c>
      <c r="BN21" s="25">
        <f t="shared" ref="BN21:BN23" si="361">SUM(X21,AL21)*25%</f>
        <v>9120</v>
      </c>
      <c r="BO21" s="25">
        <f t="shared" ref="BO21:BO23" si="362">SUM(Y21,AM21)*25%</f>
        <v>9120</v>
      </c>
      <c r="BP21" s="25">
        <f t="shared" ref="BP21:BP23" si="363">SUM(Z21,AN21)*25%</f>
        <v>9120</v>
      </c>
      <c r="BQ21" s="25">
        <f t="shared" ref="BQ21:BQ23" si="364">SUM(AA21,AO21)*25%</f>
        <v>9120</v>
      </c>
      <c r="BR21" s="25">
        <f t="shared" ref="BR21:BR23" si="365">SUM(AB21,AP21)*25%</f>
        <v>9120</v>
      </c>
      <c r="BS21" s="25">
        <f t="shared" ref="BS21:BS23" si="366">SUM(AC21,AQ21)*25%</f>
        <v>9120</v>
      </c>
      <c r="BT21" s="25">
        <f t="shared" ref="BT21:BT23" si="367">SUM(AD21,AR21)*25%</f>
        <v>9120</v>
      </c>
      <c r="BU21" s="25">
        <f t="shared" ref="BU21:BU23" si="368">SUM(AE21,AS21)*25%</f>
        <v>9120</v>
      </c>
      <c r="BV21" s="25">
        <f t="shared" ref="BV21:BV23" si="369">SUM(AF21,AT21)*25%</f>
        <v>9120</v>
      </c>
      <c r="BW21" s="25">
        <f t="shared" ref="BW21:BW23" si="370">SUM(AG21,AU21)*25%</f>
        <v>9120</v>
      </c>
      <c r="BX21" s="25">
        <f t="shared" ref="BX21:BX23" si="371">SUM(AH21,AV21)*25%</f>
        <v>9120</v>
      </c>
      <c r="BY21" s="25">
        <f t="shared" ref="BY21:BY23" si="372">SUM(BM21:BX21)</f>
        <v>109440</v>
      </c>
      <c r="BZ21" s="10"/>
      <c r="CA21" s="25">
        <f t="shared" ref="CA21:CA23" si="373">SUM(W21,AK21)*9%</f>
        <v>3283.2</v>
      </c>
      <c r="CB21" s="25">
        <f t="shared" ref="CB21:CB23" si="374">SUM(X21,AL21)*9%</f>
        <v>3283.2</v>
      </c>
      <c r="CC21" s="25">
        <f t="shared" ref="CC21:CC23" si="375">SUM(Y21,AM21)*9%</f>
        <v>3283.2</v>
      </c>
      <c r="CD21" s="25">
        <f t="shared" ref="CD21:CD23" si="376">SUM(Z21,AN21)*9%</f>
        <v>3283.2</v>
      </c>
      <c r="CE21" s="25">
        <f t="shared" ref="CE21:CE23" si="377">SUM(AA21,AO21)*9%</f>
        <v>3283.2</v>
      </c>
      <c r="CF21" s="25">
        <f t="shared" ref="CF21:CF23" si="378">SUM(AB21,AP21)*9%</f>
        <v>3283.2</v>
      </c>
      <c r="CG21" s="25">
        <f t="shared" ref="CG21:CG23" si="379">SUM(AC21,AQ21)*9%</f>
        <v>3283.2</v>
      </c>
      <c r="CH21" s="25">
        <f t="shared" ref="CH21:CH23" si="380">SUM(AD21,AR21)*9%</f>
        <v>3283.2</v>
      </c>
      <c r="CI21" s="25">
        <f t="shared" ref="CI21:CI23" si="381">SUM(AE21,AS21)*9%</f>
        <v>3283.2</v>
      </c>
      <c r="CJ21" s="25">
        <f t="shared" ref="CJ21:CJ23" si="382">SUM(AF21,AT21)*9%</f>
        <v>3283.2</v>
      </c>
      <c r="CK21" s="25">
        <f t="shared" ref="CK21:CK23" si="383">SUM(AG21,AU21)*9%</f>
        <v>3283.2</v>
      </c>
      <c r="CL21" s="25">
        <f t="shared" ref="CL21:CL23" si="384">SUM(AH21,AV21)*9%</f>
        <v>3283.2</v>
      </c>
      <c r="CM21" s="25">
        <f t="shared" ref="CM21:CM23" si="385">SUM(CA21:CL21)</f>
        <v>39398.399999999994</v>
      </c>
      <c r="CN21" s="10"/>
      <c r="CO21" s="25"/>
      <c r="CP21" s="25"/>
      <c r="CQ21" s="25">
        <f t="shared" si="191"/>
        <v>3000</v>
      </c>
      <c r="CR21" s="25"/>
      <c r="CS21" s="25"/>
      <c r="CT21" s="25"/>
      <c r="CU21" s="25"/>
      <c r="CV21" s="25"/>
      <c r="CW21" s="25"/>
      <c r="CX21" s="25"/>
      <c r="CY21" s="25"/>
      <c r="CZ21" s="25"/>
      <c r="DA21" s="25">
        <f t="shared" ref="DA21:DA23" si="386">SUM(CO21:CZ21)</f>
        <v>3000</v>
      </c>
      <c r="DB21" s="10"/>
      <c r="DC21" s="25">
        <v>333.33333333333331</v>
      </c>
      <c r="DD21" s="25">
        <v>333.33333333333331</v>
      </c>
      <c r="DE21" s="25">
        <v>333.33333333333331</v>
      </c>
      <c r="DF21" s="25">
        <v>333.33333333333331</v>
      </c>
      <c r="DG21" s="25">
        <v>333.33333333333331</v>
      </c>
      <c r="DH21" s="25">
        <v>333.33333333333331</v>
      </c>
      <c r="DI21" s="25">
        <v>333.33333333333331</v>
      </c>
      <c r="DJ21" s="25">
        <v>333.33333333333331</v>
      </c>
      <c r="DK21" s="25">
        <v>333.33333333333331</v>
      </c>
      <c r="DL21" s="25">
        <v>333.33333333333331</v>
      </c>
      <c r="DM21" s="25">
        <v>333.33333333333331</v>
      </c>
      <c r="DN21" s="25">
        <v>333.33333333333331</v>
      </c>
      <c r="DO21" s="25">
        <f t="shared" ref="DO21:DO23" si="387">SUM(DC21:DN21)</f>
        <v>4000.0000000000005</v>
      </c>
      <c r="DP21" s="10"/>
      <c r="DQ21" s="25">
        <f t="shared" si="60"/>
        <v>0</v>
      </c>
      <c r="DR21" s="25">
        <f t="shared" si="60"/>
        <v>0</v>
      </c>
      <c r="DS21" s="25">
        <f t="shared" si="60"/>
        <v>0</v>
      </c>
      <c r="DT21" s="25">
        <f t="shared" ref="DQ21:EB23" si="388">$T21*(1+$S21)</f>
        <v>0</v>
      </c>
      <c r="DU21" s="25">
        <f t="shared" si="388"/>
        <v>0</v>
      </c>
      <c r="DV21" s="25">
        <f t="shared" si="388"/>
        <v>0</v>
      </c>
      <c r="DW21" s="25">
        <f t="shared" si="388"/>
        <v>0</v>
      </c>
      <c r="DX21" s="25">
        <f t="shared" si="388"/>
        <v>0</v>
      </c>
      <c r="DY21" s="25">
        <f t="shared" si="388"/>
        <v>0</v>
      </c>
      <c r="DZ21" s="25">
        <f t="shared" si="388"/>
        <v>0</v>
      </c>
      <c r="EA21" s="25">
        <f t="shared" si="388"/>
        <v>0</v>
      </c>
      <c r="EB21" s="25">
        <f t="shared" si="388"/>
        <v>0</v>
      </c>
      <c r="EC21" s="25">
        <f t="shared" ref="EC21:EC23" si="389">SUM(DQ21:EB21)</f>
        <v>0</v>
      </c>
      <c r="ED21" s="10"/>
      <c r="EE21" s="25">
        <f t="shared" ref="EE21:EE23" si="390">SUM(W21,AK21,AY21,BM21,CA21)</f>
        <v>50093.2</v>
      </c>
      <c r="EF21" s="25">
        <f t="shared" ref="EF21:EF23" si="391">SUM(X21,AL21,AZ21,BN21,CB21)</f>
        <v>49983.199999999997</v>
      </c>
      <c r="EG21" s="25">
        <f t="shared" ref="EG21:EG23" si="392">SUM(Y21,AM21,BA21,BO21,CC21)</f>
        <v>50038.2</v>
      </c>
      <c r="EH21" s="25">
        <f t="shared" ref="EH21:EH23" si="393">SUM(Z21,AN21,BB21,BP21,CD21)</f>
        <v>49983.199999999997</v>
      </c>
      <c r="EI21" s="25">
        <f t="shared" ref="EI21:EI23" si="394">SUM(AA21,AO21,BC21,BQ21,CE21)</f>
        <v>50038.2</v>
      </c>
      <c r="EJ21" s="25">
        <f t="shared" ref="EJ21:EJ23" si="395">SUM(AB21,AP21,BD21,BR21,CF21)</f>
        <v>50038.2</v>
      </c>
      <c r="EK21" s="25">
        <f t="shared" ref="EK21:EK23" si="396">SUM(AC21,AQ21,BE21,BS21,CG21)</f>
        <v>49983.199999999997</v>
      </c>
      <c r="EL21" s="25">
        <f t="shared" ref="EL21:EL23" si="397">SUM(AD21,AR21,BF21,BT21,CH21)</f>
        <v>50148.2</v>
      </c>
      <c r="EM21" s="25">
        <f t="shared" ref="EM21:EM23" si="398">SUM(AE21,AS21,BG21,BU21,CI21)</f>
        <v>49928.2</v>
      </c>
      <c r="EN21" s="25">
        <f t="shared" ref="EN21:EN23" si="399">SUM(AF21,AT21,BH21,BV21,CJ21)</f>
        <v>50148.2</v>
      </c>
      <c r="EO21" s="25">
        <f t="shared" ref="EO21:EO23" si="400">SUM(AG21,AU21,BI21,BW21,CK21)</f>
        <v>50093.2</v>
      </c>
      <c r="EP21" s="25">
        <f t="shared" ref="EP21:EP23" si="401">SUM(AH21,AV21,BJ21,BX21,CL21)</f>
        <v>49873.2</v>
      </c>
      <c r="EQ21" s="25">
        <f t="shared" ref="EQ21:EQ23" si="402">SUM(EE21:EP21)</f>
        <v>600348.4</v>
      </c>
      <c r="ER21" s="364"/>
    </row>
    <row r="22" spans="1:148" s="364" customFormat="1" outlineLevel="1">
      <c r="A22" s="378">
        <f t="shared" si="336"/>
        <v>607348.4</v>
      </c>
      <c r="B22" s="378">
        <f t="shared" si="337"/>
        <v>600348.4</v>
      </c>
      <c r="C22" s="378">
        <f t="shared" si="338"/>
        <v>3000</v>
      </c>
      <c r="D22" s="378">
        <f t="shared" si="339"/>
        <v>4000.0000000000005</v>
      </c>
      <c r="E22" s="378">
        <f t="shared" si="340"/>
        <v>0</v>
      </c>
      <c r="F22" s="379">
        <v>42042.290775350899</v>
      </c>
      <c r="G22" s="371">
        <v>140</v>
      </c>
      <c r="H22" s="375">
        <v>8200</v>
      </c>
      <c r="I22" s="376" t="s">
        <v>72</v>
      </c>
      <c r="J22" s="375">
        <v>1</v>
      </c>
      <c r="K22" s="375" t="s">
        <v>144</v>
      </c>
      <c r="L22" s="375" t="s">
        <v>146</v>
      </c>
      <c r="M22" s="377" t="s">
        <v>393</v>
      </c>
      <c r="N22" s="25">
        <v>190</v>
      </c>
      <c r="O22" s="383">
        <v>40</v>
      </c>
      <c r="P22" s="126">
        <f t="shared" si="341"/>
        <v>30400</v>
      </c>
      <c r="Q22" s="126">
        <f t="shared" si="342"/>
        <v>6080</v>
      </c>
      <c r="R22" s="126">
        <f t="shared" si="343"/>
        <v>36480</v>
      </c>
      <c r="S22" s="369">
        <v>0.2</v>
      </c>
      <c r="T22" s="380"/>
      <c r="U22" s="25">
        <v>3000</v>
      </c>
      <c r="V22" s="384">
        <v>145</v>
      </c>
      <c r="W22" s="383">
        <f t="shared" si="344"/>
        <v>30400</v>
      </c>
      <c r="X22" s="383">
        <f t="shared" si="344"/>
        <v>30400</v>
      </c>
      <c r="Y22" s="383">
        <f t="shared" si="344"/>
        <v>30400</v>
      </c>
      <c r="Z22" s="383">
        <f t="shared" si="344"/>
        <v>30400</v>
      </c>
      <c r="AA22" s="383">
        <f t="shared" si="344"/>
        <v>30400</v>
      </c>
      <c r="AB22" s="383">
        <f t="shared" si="344"/>
        <v>30400</v>
      </c>
      <c r="AC22" s="383">
        <f t="shared" si="344"/>
        <v>30400</v>
      </c>
      <c r="AD22" s="383">
        <f t="shared" si="344"/>
        <v>30400</v>
      </c>
      <c r="AE22" s="383">
        <f t="shared" si="344"/>
        <v>30400</v>
      </c>
      <c r="AF22" s="383">
        <f t="shared" si="344"/>
        <v>30400</v>
      </c>
      <c r="AG22" s="383">
        <f t="shared" si="344"/>
        <v>30400</v>
      </c>
      <c r="AH22" s="383">
        <f t="shared" si="344"/>
        <v>30400</v>
      </c>
      <c r="AI22" s="383">
        <f t="shared" si="345"/>
        <v>364800</v>
      </c>
      <c r="AJ22" s="385"/>
      <c r="AK22" s="383">
        <f t="shared" si="346"/>
        <v>6080</v>
      </c>
      <c r="AL22" s="383">
        <f t="shared" si="347"/>
        <v>6080</v>
      </c>
      <c r="AM22" s="383">
        <f t="shared" si="348"/>
        <v>6080</v>
      </c>
      <c r="AN22" s="383">
        <f t="shared" si="349"/>
        <v>6080</v>
      </c>
      <c r="AO22" s="383">
        <f t="shared" si="350"/>
        <v>6080</v>
      </c>
      <c r="AP22" s="383">
        <f t="shared" si="351"/>
        <v>6080</v>
      </c>
      <c r="AQ22" s="383">
        <f t="shared" si="352"/>
        <v>6080</v>
      </c>
      <c r="AR22" s="383">
        <f t="shared" si="353"/>
        <v>6080</v>
      </c>
      <c r="AS22" s="383">
        <f t="shared" si="354"/>
        <v>6080</v>
      </c>
      <c r="AT22" s="383">
        <f t="shared" si="355"/>
        <v>6080</v>
      </c>
      <c r="AU22" s="383">
        <f t="shared" si="356"/>
        <v>6080</v>
      </c>
      <c r="AV22" s="383">
        <f t="shared" si="357"/>
        <v>6080</v>
      </c>
      <c r="AW22" s="383">
        <f t="shared" si="358"/>
        <v>72960</v>
      </c>
      <c r="AX22" s="385"/>
      <c r="AY22" s="25">
        <f t="shared" si="163"/>
        <v>1210</v>
      </c>
      <c r="AZ22" s="25">
        <f t="shared" si="163"/>
        <v>1100</v>
      </c>
      <c r="BA22" s="25">
        <f t="shared" si="163"/>
        <v>1155</v>
      </c>
      <c r="BB22" s="25">
        <f t="shared" si="163"/>
        <v>1100</v>
      </c>
      <c r="BC22" s="25">
        <f t="shared" si="163"/>
        <v>1155</v>
      </c>
      <c r="BD22" s="25">
        <f t="shared" si="163"/>
        <v>1155</v>
      </c>
      <c r="BE22" s="25">
        <f t="shared" si="163"/>
        <v>1100</v>
      </c>
      <c r="BF22" s="25">
        <f t="shared" si="163"/>
        <v>1265</v>
      </c>
      <c r="BG22" s="25">
        <f t="shared" si="163"/>
        <v>1045</v>
      </c>
      <c r="BH22" s="25">
        <f t="shared" si="163"/>
        <v>1265</v>
      </c>
      <c r="BI22" s="25">
        <f t="shared" si="163"/>
        <v>1210</v>
      </c>
      <c r="BJ22" s="25">
        <f t="shared" si="163"/>
        <v>990</v>
      </c>
      <c r="BK22" s="383">
        <f t="shared" si="359"/>
        <v>13750</v>
      </c>
      <c r="BL22" s="385"/>
      <c r="BM22" s="25">
        <f t="shared" si="360"/>
        <v>9120</v>
      </c>
      <c r="BN22" s="25">
        <f t="shared" si="361"/>
        <v>9120</v>
      </c>
      <c r="BO22" s="25">
        <f t="shared" si="362"/>
        <v>9120</v>
      </c>
      <c r="BP22" s="25">
        <f t="shared" si="363"/>
        <v>9120</v>
      </c>
      <c r="BQ22" s="25">
        <f t="shared" si="364"/>
        <v>9120</v>
      </c>
      <c r="BR22" s="25">
        <f t="shared" si="365"/>
        <v>9120</v>
      </c>
      <c r="BS22" s="25">
        <f t="shared" si="366"/>
        <v>9120</v>
      </c>
      <c r="BT22" s="25">
        <f t="shared" si="367"/>
        <v>9120</v>
      </c>
      <c r="BU22" s="25">
        <f t="shared" si="368"/>
        <v>9120</v>
      </c>
      <c r="BV22" s="25">
        <f t="shared" si="369"/>
        <v>9120</v>
      </c>
      <c r="BW22" s="25">
        <f t="shared" si="370"/>
        <v>9120</v>
      </c>
      <c r="BX22" s="25">
        <f t="shared" si="371"/>
        <v>9120</v>
      </c>
      <c r="BY22" s="383">
        <f t="shared" si="372"/>
        <v>109440</v>
      </c>
      <c r="BZ22" s="385"/>
      <c r="CA22" s="25">
        <f t="shared" si="373"/>
        <v>3283.2</v>
      </c>
      <c r="CB22" s="25">
        <f t="shared" si="374"/>
        <v>3283.2</v>
      </c>
      <c r="CC22" s="25">
        <f t="shared" si="375"/>
        <v>3283.2</v>
      </c>
      <c r="CD22" s="25">
        <f t="shared" si="376"/>
        <v>3283.2</v>
      </c>
      <c r="CE22" s="25">
        <f t="shared" si="377"/>
        <v>3283.2</v>
      </c>
      <c r="CF22" s="25">
        <f t="shared" si="378"/>
        <v>3283.2</v>
      </c>
      <c r="CG22" s="25">
        <f t="shared" si="379"/>
        <v>3283.2</v>
      </c>
      <c r="CH22" s="25">
        <f t="shared" si="380"/>
        <v>3283.2</v>
      </c>
      <c r="CI22" s="25">
        <f t="shared" si="381"/>
        <v>3283.2</v>
      </c>
      <c r="CJ22" s="25">
        <f t="shared" si="382"/>
        <v>3283.2</v>
      </c>
      <c r="CK22" s="25">
        <f t="shared" si="383"/>
        <v>3283.2</v>
      </c>
      <c r="CL22" s="25">
        <f t="shared" si="384"/>
        <v>3283.2</v>
      </c>
      <c r="CM22" s="383">
        <f t="shared" si="385"/>
        <v>39398.399999999994</v>
      </c>
      <c r="CN22" s="385"/>
      <c r="CO22" s="383"/>
      <c r="CP22" s="383"/>
      <c r="CQ22" s="25">
        <f t="shared" si="191"/>
        <v>3000</v>
      </c>
      <c r="CR22" s="383"/>
      <c r="CS22" s="383"/>
      <c r="CT22" s="383"/>
      <c r="CU22" s="383"/>
      <c r="CV22" s="383"/>
      <c r="CW22" s="383"/>
      <c r="CX22" s="383"/>
      <c r="CY22" s="383"/>
      <c r="CZ22" s="383"/>
      <c r="DA22" s="383">
        <f t="shared" si="386"/>
        <v>3000</v>
      </c>
      <c r="DB22" s="385"/>
      <c r="DC22" s="383">
        <v>333.33333333333331</v>
      </c>
      <c r="DD22" s="383">
        <v>333.33333333333331</v>
      </c>
      <c r="DE22" s="383">
        <v>333.33333333333331</v>
      </c>
      <c r="DF22" s="383">
        <v>333.33333333333331</v>
      </c>
      <c r="DG22" s="383">
        <v>333.33333333333331</v>
      </c>
      <c r="DH22" s="383">
        <v>333.33333333333331</v>
      </c>
      <c r="DI22" s="383">
        <v>333.33333333333331</v>
      </c>
      <c r="DJ22" s="383">
        <v>333.33333333333331</v>
      </c>
      <c r="DK22" s="383">
        <v>333.33333333333331</v>
      </c>
      <c r="DL22" s="383">
        <v>333.33333333333331</v>
      </c>
      <c r="DM22" s="383">
        <v>333.33333333333331</v>
      </c>
      <c r="DN22" s="383">
        <v>333.33333333333331</v>
      </c>
      <c r="DO22" s="383">
        <f t="shared" si="387"/>
        <v>4000.0000000000005</v>
      </c>
      <c r="DP22" s="385"/>
      <c r="DQ22" s="383">
        <f t="shared" si="388"/>
        <v>0</v>
      </c>
      <c r="DR22" s="383">
        <f t="shared" si="388"/>
        <v>0</v>
      </c>
      <c r="DS22" s="383">
        <f t="shared" si="388"/>
        <v>0</v>
      </c>
      <c r="DT22" s="383">
        <f t="shared" si="388"/>
        <v>0</v>
      </c>
      <c r="DU22" s="383">
        <f t="shared" si="388"/>
        <v>0</v>
      </c>
      <c r="DV22" s="383">
        <f t="shared" si="388"/>
        <v>0</v>
      </c>
      <c r="DW22" s="383">
        <f t="shared" si="388"/>
        <v>0</v>
      </c>
      <c r="DX22" s="383">
        <f t="shared" si="388"/>
        <v>0</v>
      </c>
      <c r="DY22" s="383">
        <f t="shared" si="388"/>
        <v>0</v>
      </c>
      <c r="DZ22" s="383">
        <f t="shared" si="388"/>
        <v>0</v>
      </c>
      <c r="EA22" s="383">
        <f t="shared" si="388"/>
        <v>0</v>
      </c>
      <c r="EB22" s="383">
        <f t="shared" si="388"/>
        <v>0</v>
      </c>
      <c r="EC22" s="383">
        <f t="shared" si="389"/>
        <v>0</v>
      </c>
      <c r="ED22" s="385"/>
      <c r="EE22" s="383">
        <f t="shared" si="390"/>
        <v>50093.2</v>
      </c>
      <c r="EF22" s="383">
        <f t="shared" si="391"/>
        <v>49983.199999999997</v>
      </c>
      <c r="EG22" s="383">
        <f t="shared" si="392"/>
        <v>50038.2</v>
      </c>
      <c r="EH22" s="383">
        <f t="shared" si="393"/>
        <v>49983.199999999997</v>
      </c>
      <c r="EI22" s="383">
        <f t="shared" si="394"/>
        <v>50038.2</v>
      </c>
      <c r="EJ22" s="383">
        <f t="shared" si="395"/>
        <v>50038.2</v>
      </c>
      <c r="EK22" s="383">
        <f t="shared" si="396"/>
        <v>49983.199999999997</v>
      </c>
      <c r="EL22" s="383">
        <f t="shared" si="397"/>
        <v>50148.2</v>
      </c>
      <c r="EM22" s="383">
        <f t="shared" si="398"/>
        <v>49928.2</v>
      </c>
      <c r="EN22" s="383">
        <f t="shared" si="399"/>
        <v>50148.2</v>
      </c>
      <c r="EO22" s="383">
        <f t="shared" si="400"/>
        <v>50093.2</v>
      </c>
      <c r="EP22" s="383">
        <f t="shared" si="401"/>
        <v>49873.2</v>
      </c>
      <c r="EQ22" s="383">
        <f t="shared" si="402"/>
        <v>600348.4</v>
      </c>
      <c r="ER22" s="378"/>
    </row>
    <row r="23" spans="1:148" s="378" customFormat="1" outlineLevel="1">
      <c r="A23" s="364">
        <f t="shared" si="336"/>
        <v>607348.4</v>
      </c>
      <c r="B23" s="364">
        <f t="shared" si="337"/>
        <v>600348.4</v>
      </c>
      <c r="C23" s="364">
        <f t="shared" si="338"/>
        <v>3000</v>
      </c>
      <c r="D23" s="364">
        <f t="shared" si="339"/>
        <v>4000.0000000000005</v>
      </c>
      <c r="E23" s="364">
        <f t="shared" si="340"/>
        <v>0</v>
      </c>
      <c r="F23" s="365">
        <v>29000.000000000004</v>
      </c>
      <c r="G23" s="366">
        <v>139</v>
      </c>
      <c r="H23" s="375">
        <v>8200</v>
      </c>
      <c r="I23" s="376" t="s">
        <v>72</v>
      </c>
      <c r="J23" s="366">
        <v>1</v>
      </c>
      <c r="K23" s="366" t="s">
        <v>144</v>
      </c>
      <c r="L23" s="366" t="s">
        <v>146</v>
      </c>
      <c r="M23" s="377" t="s">
        <v>393</v>
      </c>
      <c r="N23" s="25">
        <v>190</v>
      </c>
      <c r="O23" s="25">
        <v>40</v>
      </c>
      <c r="P23" s="126">
        <f t="shared" si="341"/>
        <v>30400</v>
      </c>
      <c r="Q23" s="126">
        <f t="shared" si="342"/>
        <v>6080</v>
      </c>
      <c r="R23" s="126">
        <f t="shared" si="343"/>
        <v>36480</v>
      </c>
      <c r="S23" s="369">
        <v>0.2</v>
      </c>
      <c r="T23" s="370"/>
      <c r="U23" s="25">
        <v>3000</v>
      </c>
      <c r="V23" s="382">
        <v>120</v>
      </c>
      <c r="W23" s="25">
        <f t="shared" si="344"/>
        <v>30400</v>
      </c>
      <c r="X23" s="25">
        <f t="shared" si="344"/>
        <v>30400</v>
      </c>
      <c r="Y23" s="25">
        <f t="shared" si="344"/>
        <v>30400</v>
      </c>
      <c r="Z23" s="25">
        <f t="shared" si="344"/>
        <v>30400</v>
      </c>
      <c r="AA23" s="25">
        <f t="shared" si="344"/>
        <v>30400</v>
      </c>
      <c r="AB23" s="25">
        <f t="shared" si="344"/>
        <v>30400</v>
      </c>
      <c r="AC23" s="25">
        <f t="shared" si="344"/>
        <v>30400</v>
      </c>
      <c r="AD23" s="25">
        <f t="shared" si="344"/>
        <v>30400</v>
      </c>
      <c r="AE23" s="25">
        <f t="shared" si="344"/>
        <v>30400</v>
      </c>
      <c r="AF23" s="25">
        <f t="shared" si="344"/>
        <v>30400</v>
      </c>
      <c r="AG23" s="25">
        <f t="shared" si="344"/>
        <v>30400</v>
      </c>
      <c r="AH23" s="25">
        <f t="shared" si="344"/>
        <v>30400</v>
      </c>
      <c r="AI23" s="25">
        <f t="shared" si="345"/>
        <v>364800</v>
      </c>
      <c r="AJ23" s="10"/>
      <c r="AK23" s="25">
        <f t="shared" si="346"/>
        <v>6080</v>
      </c>
      <c r="AL23" s="25">
        <f t="shared" si="347"/>
        <v>6080</v>
      </c>
      <c r="AM23" s="25">
        <f t="shared" si="348"/>
        <v>6080</v>
      </c>
      <c r="AN23" s="25">
        <f t="shared" si="349"/>
        <v>6080</v>
      </c>
      <c r="AO23" s="25">
        <f t="shared" si="350"/>
        <v>6080</v>
      </c>
      <c r="AP23" s="25">
        <f t="shared" si="351"/>
        <v>6080</v>
      </c>
      <c r="AQ23" s="25">
        <f t="shared" si="352"/>
        <v>6080</v>
      </c>
      <c r="AR23" s="25">
        <f t="shared" si="353"/>
        <v>6080</v>
      </c>
      <c r="AS23" s="25">
        <f t="shared" si="354"/>
        <v>6080</v>
      </c>
      <c r="AT23" s="25">
        <f t="shared" si="355"/>
        <v>6080</v>
      </c>
      <c r="AU23" s="25">
        <f t="shared" si="356"/>
        <v>6080</v>
      </c>
      <c r="AV23" s="25">
        <f t="shared" si="357"/>
        <v>6080</v>
      </c>
      <c r="AW23" s="25">
        <f t="shared" si="358"/>
        <v>72960</v>
      </c>
      <c r="AX23" s="10"/>
      <c r="AY23" s="25">
        <f t="shared" si="163"/>
        <v>1210</v>
      </c>
      <c r="AZ23" s="25">
        <f t="shared" si="163"/>
        <v>1100</v>
      </c>
      <c r="BA23" s="25">
        <f t="shared" si="163"/>
        <v>1155</v>
      </c>
      <c r="BB23" s="25">
        <f t="shared" si="163"/>
        <v>1100</v>
      </c>
      <c r="BC23" s="25">
        <f t="shared" si="163"/>
        <v>1155</v>
      </c>
      <c r="BD23" s="25">
        <f t="shared" si="163"/>
        <v>1155</v>
      </c>
      <c r="BE23" s="25">
        <f t="shared" si="163"/>
        <v>1100</v>
      </c>
      <c r="BF23" s="25">
        <f t="shared" si="163"/>
        <v>1265</v>
      </c>
      <c r="BG23" s="25">
        <f t="shared" si="163"/>
        <v>1045</v>
      </c>
      <c r="BH23" s="25">
        <f t="shared" si="163"/>
        <v>1265</v>
      </c>
      <c r="BI23" s="25">
        <f t="shared" si="163"/>
        <v>1210</v>
      </c>
      <c r="BJ23" s="25">
        <f t="shared" si="163"/>
        <v>990</v>
      </c>
      <c r="BK23" s="25">
        <f t="shared" si="359"/>
        <v>13750</v>
      </c>
      <c r="BL23" s="10"/>
      <c r="BM23" s="25">
        <f t="shared" si="360"/>
        <v>9120</v>
      </c>
      <c r="BN23" s="25">
        <f t="shared" si="361"/>
        <v>9120</v>
      </c>
      <c r="BO23" s="25">
        <f t="shared" si="362"/>
        <v>9120</v>
      </c>
      <c r="BP23" s="25">
        <f t="shared" si="363"/>
        <v>9120</v>
      </c>
      <c r="BQ23" s="25">
        <f t="shared" si="364"/>
        <v>9120</v>
      </c>
      <c r="BR23" s="25">
        <f t="shared" si="365"/>
        <v>9120</v>
      </c>
      <c r="BS23" s="25">
        <f t="shared" si="366"/>
        <v>9120</v>
      </c>
      <c r="BT23" s="25">
        <f t="shared" si="367"/>
        <v>9120</v>
      </c>
      <c r="BU23" s="25">
        <f t="shared" si="368"/>
        <v>9120</v>
      </c>
      <c r="BV23" s="25">
        <f t="shared" si="369"/>
        <v>9120</v>
      </c>
      <c r="BW23" s="25">
        <f t="shared" si="370"/>
        <v>9120</v>
      </c>
      <c r="BX23" s="25">
        <f t="shared" si="371"/>
        <v>9120</v>
      </c>
      <c r="BY23" s="25">
        <f t="shared" si="372"/>
        <v>109440</v>
      </c>
      <c r="BZ23" s="10"/>
      <c r="CA23" s="25">
        <f t="shared" si="373"/>
        <v>3283.2</v>
      </c>
      <c r="CB23" s="25">
        <f t="shared" si="374"/>
        <v>3283.2</v>
      </c>
      <c r="CC23" s="25">
        <f t="shared" si="375"/>
        <v>3283.2</v>
      </c>
      <c r="CD23" s="25">
        <f t="shared" si="376"/>
        <v>3283.2</v>
      </c>
      <c r="CE23" s="25">
        <f t="shared" si="377"/>
        <v>3283.2</v>
      </c>
      <c r="CF23" s="25">
        <f t="shared" si="378"/>
        <v>3283.2</v>
      </c>
      <c r="CG23" s="25">
        <f t="shared" si="379"/>
        <v>3283.2</v>
      </c>
      <c r="CH23" s="25">
        <f t="shared" si="380"/>
        <v>3283.2</v>
      </c>
      <c r="CI23" s="25">
        <f t="shared" si="381"/>
        <v>3283.2</v>
      </c>
      <c r="CJ23" s="25">
        <f t="shared" si="382"/>
        <v>3283.2</v>
      </c>
      <c r="CK23" s="25">
        <f t="shared" si="383"/>
        <v>3283.2</v>
      </c>
      <c r="CL23" s="25">
        <f t="shared" si="384"/>
        <v>3283.2</v>
      </c>
      <c r="CM23" s="25">
        <f t="shared" si="385"/>
        <v>39398.399999999994</v>
      </c>
      <c r="CN23" s="10"/>
      <c r="CO23" s="25"/>
      <c r="CP23" s="25"/>
      <c r="CQ23" s="25">
        <f t="shared" si="191"/>
        <v>3000</v>
      </c>
      <c r="CR23" s="25"/>
      <c r="CS23" s="25"/>
      <c r="CT23" s="25"/>
      <c r="CU23" s="25"/>
      <c r="CV23" s="25"/>
      <c r="CW23" s="25"/>
      <c r="CX23" s="25"/>
      <c r="CY23" s="25"/>
      <c r="CZ23" s="25"/>
      <c r="DA23" s="25">
        <f t="shared" si="386"/>
        <v>3000</v>
      </c>
      <c r="DB23" s="10"/>
      <c r="DC23" s="25">
        <v>333.33333333333331</v>
      </c>
      <c r="DD23" s="25">
        <v>333.33333333333331</v>
      </c>
      <c r="DE23" s="25">
        <v>333.33333333333331</v>
      </c>
      <c r="DF23" s="25">
        <v>333.33333333333331</v>
      </c>
      <c r="DG23" s="25">
        <v>333.33333333333331</v>
      </c>
      <c r="DH23" s="25">
        <v>333.33333333333331</v>
      </c>
      <c r="DI23" s="25">
        <v>333.33333333333331</v>
      </c>
      <c r="DJ23" s="25">
        <v>333.33333333333331</v>
      </c>
      <c r="DK23" s="25">
        <v>333.33333333333331</v>
      </c>
      <c r="DL23" s="25">
        <v>333.33333333333331</v>
      </c>
      <c r="DM23" s="25">
        <v>333.33333333333331</v>
      </c>
      <c r="DN23" s="25">
        <v>333.33333333333331</v>
      </c>
      <c r="DO23" s="25">
        <f t="shared" si="387"/>
        <v>4000.0000000000005</v>
      </c>
      <c r="DP23" s="10"/>
      <c r="DQ23" s="25">
        <f t="shared" si="388"/>
        <v>0</v>
      </c>
      <c r="DR23" s="25">
        <f t="shared" si="388"/>
        <v>0</v>
      </c>
      <c r="DS23" s="25">
        <f t="shared" si="388"/>
        <v>0</v>
      </c>
      <c r="DT23" s="25">
        <f t="shared" si="388"/>
        <v>0</v>
      </c>
      <c r="DU23" s="25">
        <f t="shared" si="388"/>
        <v>0</v>
      </c>
      <c r="DV23" s="25">
        <f t="shared" si="388"/>
        <v>0</v>
      </c>
      <c r="DW23" s="25">
        <f t="shared" si="388"/>
        <v>0</v>
      </c>
      <c r="DX23" s="25">
        <f t="shared" si="388"/>
        <v>0</v>
      </c>
      <c r="DY23" s="25">
        <f t="shared" si="388"/>
        <v>0</v>
      </c>
      <c r="DZ23" s="25">
        <f t="shared" si="388"/>
        <v>0</v>
      </c>
      <c r="EA23" s="25">
        <f t="shared" si="388"/>
        <v>0</v>
      </c>
      <c r="EB23" s="25">
        <f t="shared" si="388"/>
        <v>0</v>
      </c>
      <c r="EC23" s="25">
        <f t="shared" si="389"/>
        <v>0</v>
      </c>
      <c r="ED23" s="10"/>
      <c r="EE23" s="25">
        <f t="shared" si="390"/>
        <v>50093.2</v>
      </c>
      <c r="EF23" s="25">
        <f t="shared" si="391"/>
        <v>49983.199999999997</v>
      </c>
      <c r="EG23" s="25">
        <f t="shared" si="392"/>
        <v>50038.2</v>
      </c>
      <c r="EH23" s="25">
        <f t="shared" si="393"/>
        <v>49983.199999999997</v>
      </c>
      <c r="EI23" s="25">
        <f t="shared" si="394"/>
        <v>50038.2</v>
      </c>
      <c r="EJ23" s="25">
        <f t="shared" si="395"/>
        <v>50038.2</v>
      </c>
      <c r="EK23" s="25">
        <f t="shared" si="396"/>
        <v>49983.199999999997</v>
      </c>
      <c r="EL23" s="25">
        <f t="shared" si="397"/>
        <v>50148.2</v>
      </c>
      <c r="EM23" s="25">
        <f t="shared" si="398"/>
        <v>49928.2</v>
      </c>
      <c r="EN23" s="25">
        <f t="shared" si="399"/>
        <v>50148.2</v>
      </c>
      <c r="EO23" s="25">
        <f t="shared" si="400"/>
        <v>50093.2</v>
      </c>
      <c r="EP23" s="25">
        <f t="shared" si="401"/>
        <v>49873.2</v>
      </c>
      <c r="EQ23" s="25">
        <f t="shared" si="402"/>
        <v>600348.4</v>
      </c>
      <c r="ER23" s="364"/>
    </row>
    <row r="24" spans="1:148" s="378" customFormat="1" outlineLevel="1">
      <c r="A24" s="364">
        <f t="shared" si="272"/>
        <v>607348.4</v>
      </c>
      <c r="B24" s="364">
        <f t="shared" si="273"/>
        <v>600348.4</v>
      </c>
      <c r="C24" s="364">
        <f t="shared" si="274"/>
        <v>3000</v>
      </c>
      <c r="D24" s="364">
        <f t="shared" si="275"/>
        <v>4000.0000000000005</v>
      </c>
      <c r="E24" s="364">
        <f t="shared" si="276"/>
        <v>0</v>
      </c>
      <c r="F24" s="365">
        <v>29000.000000000004</v>
      </c>
      <c r="G24" s="366">
        <v>139</v>
      </c>
      <c r="H24" s="375">
        <v>8200</v>
      </c>
      <c r="I24" s="376" t="s">
        <v>72</v>
      </c>
      <c r="J24" s="366">
        <v>1</v>
      </c>
      <c r="K24" s="366" t="s">
        <v>144</v>
      </c>
      <c r="L24" s="366" t="s">
        <v>146</v>
      </c>
      <c r="M24" s="377" t="s">
        <v>393</v>
      </c>
      <c r="N24" s="25">
        <v>190</v>
      </c>
      <c r="O24" s="25">
        <v>40</v>
      </c>
      <c r="P24" s="126">
        <f t="shared" ref="P24:P25" si="403">N24*O24*4</f>
        <v>30400</v>
      </c>
      <c r="Q24" s="126">
        <f t="shared" si="277"/>
        <v>6080</v>
      </c>
      <c r="R24" s="126">
        <f t="shared" si="278"/>
        <v>36480</v>
      </c>
      <c r="S24" s="369">
        <v>0.2</v>
      </c>
      <c r="T24" s="370"/>
      <c r="U24" s="25">
        <v>3000</v>
      </c>
      <c r="V24" s="382">
        <v>120</v>
      </c>
      <c r="W24" s="25">
        <f t="shared" si="14"/>
        <v>30400</v>
      </c>
      <c r="X24" s="25">
        <f t="shared" si="14"/>
        <v>30400</v>
      </c>
      <c r="Y24" s="25">
        <f t="shared" si="14"/>
        <v>30400</v>
      </c>
      <c r="Z24" s="25">
        <f t="shared" si="14"/>
        <v>30400</v>
      </c>
      <c r="AA24" s="25">
        <f t="shared" si="14"/>
        <v>30400</v>
      </c>
      <c r="AB24" s="25">
        <f t="shared" si="14"/>
        <v>30400</v>
      </c>
      <c r="AC24" s="25">
        <f t="shared" si="14"/>
        <v>30400</v>
      </c>
      <c r="AD24" s="25">
        <f t="shared" si="14"/>
        <v>30400</v>
      </c>
      <c r="AE24" s="25">
        <f t="shared" si="14"/>
        <v>30400</v>
      </c>
      <c r="AF24" s="25">
        <f t="shared" si="14"/>
        <v>30400</v>
      </c>
      <c r="AG24" s="25">
        <f t="shared" si="14"/>
        <v>30400</v>
      </c>
      <c r="AH24" s="25">
        <f t="shared" si="14"/>
        <v>30400</v>
      </c>
      <c r="AI24" s="25">
        <f t="shared" si="279"/>
        <v>364800</v>
      </c>
      <c r="AJ24" s="10"/>
      <c r="AK24" s="25">
        <f t="shared" si="280"/>
        <v>6080</v>
      </c>
      <c r="AL24" s="25">
        <f t="shared" si="281"/>
        <v>6080</v>
      </c>
      <c r="AM24" s="25">
        <f t="shared" si="282"/>
        <v>6080</v>
      </c>
      <c r="AN24" s="25">
        <f t="shared" si="283"/>
        <v>6080</v>
      </c>
      <c r="AO24" s="25">
        <f t="shared" si="284"/>
        <v>6080</v>
      </c>
      <c r="AP24" s="25">
        <f t="shared" si="285"/>
        <v>6080</v>
      </c>
      <c r="AQ24" s="25">
        <f t="shared" si="286"/>
        <v>6080</v>
      </c>
      <c r="AR24" s="25">
        <f t="shared" si="287"/>
        <v>6080</v>
      </c>
      <c r="AS24" s="25">
        <f t="shared" si="288"/>
        <v>6080</v>
      </c>
      <c r="AT24" s="25">
        <f t="shared" si="289"/>
        <v>6080</v>
      </c>
      <c r="AU24" s="25">
        <f t="shared" si="290"/>
        <v>6080</v>
      </c>
      <c r="AV24" s="25">
        <f t="shared" si="291"/>
        <v>6080</v>
      </c>
      <c r="AW24" s="25">
        <f t="shared" si="292"/>
        <v>72960</v>
      </c>
      <c r="AX24" s="10"/>
      <c r="AY24" s="25">
        <f t="shared" si="163"/>
        <v>1210</v>
      </c>
      <c r="AZ24" s="25">
        <f t="shared" si="163"/>
        <v>1100</v>
      </c>
      <c r="BA24" s="25">
        <f t="shared" si="163"/>
        <v>1155</v>
      </c>
      <c r="BB24" s="25">
        <f t="shared" si="163"/>
        <v>1100</v>
      </c>
      <c r="BC24" s="25">
        <f t="shared" si="163"/>
        <v>1155</v>
      </c>
      <c r="BD24" s="25">
        <f t="shared" si="163"/>
        <v>1155</v>
      </c>
      <c r="BE24" s="25">
        <f t="shared" si="163"/>
        <v>1100</v>
      </c>
      <c r="BF24" s="25">
        <f t="shared" si="163"/>
        <v>1265</v>
      </c>
      <c r="BG24" s="25">
        <f t="shared" si="163"/>
        <v>1045</v>
      </c>
      <c r="BH24" s="25">
        <f t="shared" si="163"/>
        <v>1265</v>
      </c>
      <c r="BI24" s="25">
        <f t="shared" si="163"/>
        <v>1210</v>
      </c>
      <c r="BJ24" s="25">
        <f t="shared" si="163"/>
        <v>990</v>
      </c>
      <c r="BK24" s="25">
        <f t="shared" si="293"/>
        <v>13750</v>
      </c>
      <c r="BL24" s="10"/>
      <c r="BM24" s="25">
        <f t="shared" si="294"/>
        <v>9120</v>
      </c>
      <c r="BN24" s="25">
        <f t="shared" si="295"/>
        <v>9120</v>
      </c>
      <c r="BO24" s="25">
        <f t="shared" si="296"/>
        <v>9120</v>
      </c>
      <c r="BP24" s="25">
        <f t="shared" si="297"/>
        <v>9120</v>
      </c>
      <c r="BQ24" s="25">
        <f t="shared" si="298"/>
        <v>9120</v>
      </c>
      <c r="BR24" s="25">
        <f t="shared" si="299"/>
        <v>9120</v>
      </c>
      <c r="BS24" s="25">
        <f t="shared" si="300"/>
        <v>9120</v>
      </c>
      <c r="BT24" s="25">
        <f t="shared" si="301"/>
        <v>9120</v>
      </c>
      <c r="BU24" s="25">
        <f t="shared" si="302"/>
        <v>9120</v>
      </c>
      <c r="BV24" s="25">
        <f t="shared" si="303"/>
        <v>9120</v>
      </c>
      <c r="BW24" s="25">
        <f t="shared" si="304"/>
        <v>9120</v>
      </c>
      <c r="BX24" s="25">
        <f t="shared" si="305"/>
        <v>9120</v>
      </c>
      <c r="BY24" s="25">
        <f t="shared" si="306"/>
        <v>109440</v>
      </c>
      <c r="BZ24" s="10"/>
      <c r="CA24" s="25">
        <f t="shared" si="307"/>
        <v>3283.2</v>
      </c>
      <c r="CB24" s="25">
        <f t="shared" si="308"/>
        <v>3283.2</v>
      </c>
      <c r="CC24" s="25">
        <f t="shared" si="309"/>
        <v>3283.2</v>
      </c>
      <c r="CD24" s="25">
        <f t="shared" si="310"/>
        <v>3283.2</v>
      </c>
      <c r="CE24" s="25">
        <f t="shared" si="311"/>
        <v>3283.2</v>
      </c>
      <c r="CF24" s="25">
        <f t="shared" si="312"/>
        <v>3283.2</v>
      </c>
      <c r="CG24" s="25">
        <f t="shared" si="313"/>
        <v>3283.2</v>
      </c>
      <c r="CH24" s="25">
        <f t="shared" si="314"/>
        <v>3283.2</v>
      </c>
      <c r="CI24" s="25">
        <f t="shared" si="315"/>
        <v>3283.2</v>
      </c>
      <c r="CJ24" s="25">
        <f t="shared" si="316"/>
        <v>3283.2</v>
      </c>
      <c r="CK24" s="25">
        <f t="shared" si="317"/>
        <v>3283.2</v>
      </c>
      <c r="CL24" s="25">
        <f t="shared" si="318"/>
        <v>3283.2</v>
      </c>
      <c r="CM24" s="25">
        <f t="shared" si="319"/>
        <v>39398.399999999994</v>
      </c>
      <c r="CN24" s="10"/>
      <c r="CO24" s="25"/>
      <c r="CP24" s="25"/>
      <c r="CQ24" s="25">
        <f t="shared" si="191"/>
        <v>3000</v>
      </c>
      <c r="CR24" s="25"/>
      <c r="CS24" s="25"/>
      <c r="CT24" s="25"/>
      <c r="CU24" s="25"/>
      <c r="CV24" s="25"/>
      <c r="CW24" s="25"/>
      <c r="CX24" s="25"/>
      <c r="CY24" s="25"/>
      <c r="CZ24" s="25"/>
      <c r="DA24" s="25">
        <f t="shared" si="320"/>
        <v>3000</v>
      </c>
      <c r="DB24" s="10"/>
      <c r="DC24" s="25">
        <v>333.33333333333331</v>
      </c>
      <c r="DD24" s="25">
        <v>333.33333333333331</v>
      </c>
      <c r="DE24" s="25">
        <v>333.33333333333331</v>
      </c>
      <c r="DF24" s="25">
        <v>333.33333333333331</v>
      </c>
      <c r="DG24" s="25">
        <v>333.33333333333331</v>
      </c>
      <c r="DH24" s="25">
        <v>333.33333333333331</v>
      </c>
      <c r="DI24" s="25">
        <v>333.33333333333331</v>
      </c>
      <c r="DJ24" s="25">
        <v>333.33333333333331</v>
      </c>
      <c r="DK24" s="25">
        <v>333.33333333333331</v>
      </c>
      <c r="DL24" s="25">
        <v>333.33333333333331</v>
      </c>
      <c r="DM24" s="25">
        <v>333.33333333333331</v>
      </c>
      <c r="DN24" s="25">
        <v>333.33333333333331</v>
      </c>
      <c r="DO24" s="25">
        <f t="shared" si="321"/>
        <v>4000.0000000000005</v>
      </c>
      <c r="DP24" s="10"/>
      <c r="DQ24" s="25">
        <f t="shared" si="60"/>
        <v>0</v>
      </c>
      <c r="DR24" s="25">
        <f t="shared" si="60"/>
        <v>0</v>
      </c>
      <c r="DS24" s="25">
        <f t="shared" si="60"/>
        <v>0</v>
      </c>
      <c r="DT24" s="25">
        <f t="shared" si="60"/>
        <v>0</v>
      </c>
      <c r="DU24" s="25">
        <f t="shared" si="60"/>
        <v>0</v>
      </c>
      <c r="DV24" s="25">
        <f t="shared" si="60"/>
        <v>0</v>
      </c>
      <c r="DW24" s="25">
        <f t="shared" si="60"/>
        <v>0</v>
      </c>
      <c r="DX24" s="25">
        <f t="shared" si="60"/>
        <v>0</v>
      </c>
      <c r="DY24" s="25">
        <f t="shared" si="60"/>
        <v>0</v>
      </c>
      <c r="DZ24" s="25">
        <f t="shared" si="60"/>
        <v>0</v>
      </c>
      <c r="EA24" s="25">
        <f t="shared" si="60"/>
        <v>0</v>
      </c>
      <c r="EB24" s="25">
        <f t="shared" si="60"/>
        <v>0</v>
      </c>
      <c r="EC24" s="25">
        <f t="shared" si="322"/>
        <v>0</v>
      </c>
      <c r="ED24" s="10"/>
      <c r="EE24" s="25">
        <f t="shared" si="323"/>
        <v>50093.2</v>
      </c>
      <c r="EF24" s="25">
        <f t="shared" si="324"/>
        <v>49983.199999999997</v>
      </c>
      <c r="EG24" s="25">
        <f t="shared" si="325"/>
        <v>50038.2</v>
      </c>
      <c r="EH24" s="25">
        <f t="shared" si="326"/>
        <v>49983.199999999997</v>
      </c>
      <c r="EI24" s="25">
        <f t="shared" si="327"/>
        <v>50038.2</v>
      </c>
      <c r="EJ24" s="25">
        <f t="shared" si="328"/>
        <v>50038.2</v>
      </c>
      <c r="EK24" s="25">
        <f t="shared" si="329"/>
        <v>49983.199999999997</v>
      </c>
      <c r="EL24" s="25">
        <f t="shared" si="330"/>
        <v>50148.2</v>
      </c>
      <c r="EM24" s="25">
        <f t="shared" si="331"/>
        <v>49928.2</v>
      </c>
      <c r="EN24" s="25">
        <f t="shared" si="332"/>
        <v>50148.2</v>
      </c>
      <c r="EO24" s="25">
        <f t="shared" si="333"/>
        <v>50093.2</v>
      </c>
      <c r="EP24" s="25">
        <f t="shared" si="334"/>
        <v>49873.2</v>
      </c>
      <c r="EQ24" s="25">
        <f t="shared" si="335"/>
        <v>600348.4</v>
      </c>
      <c r="ER24" s="364"/>
    </row>
    <row r="25" spans="1:148" s="364" customFormat="1" outlineLevel="1">
      <c r="A25" s="378">
        <f t="shared" si="272"/>
        <v>607348.4</v>
      </c>
      <c r="B25" s="378">
        <f t="shared" si="273"/>
        <v>600348.4</v>
      </c>
      <c r="C25" s="378">
        <f t="shared" si="274"/>
        <v>3000</v>
      </c>
      <c r="D25" s="378">
        <f t="shared" si="275"/>
        <v>4000.0000000000005</v>
      </c>
      <c r="E25" s="378">
        <f t="shared" si="276"/>
        <v>0</v>
      </c>
      <c r="F25" s="379">
        <v>42042.290775350899</v>
      </c>
      <c r="G25" s="371">
        <v>140</v>
      </c>
      <c r="H25" s="375">
        <v>8200</v>
      </c>
      <c r="I25" s="376" t="s">
        <v>72</v>
      </c>
      <c r="J25" s="375">
        <v>1</v>
      </c>
      <c r="K25" s="375" t="s">
        <v>144</v>
      </c>
      <c r="L25" s="375" t="s">
        <v>146</v>
      </c>
      <c r="M25" s="377" t="s">
        <v>393</v>
      </c>
      <c r="N25" s="25">
        <v>190</v>
      </c>
      <c r="O25" s="383">
        <v>40</v>
      </c>
      <c r="P25" s="126">
        <f t="shared" si="403"/>
        <v>30400</v>
      </c>
      <c r="Q25" s="126">
        <f t="shared" si="277"/>
        <v>6080</v>
      </c>
      <c r="R25" s="126">
        <f t="shared" si="278"/>
        <v>36480</v>
      </c>
      <c r="S25" s="369">
        <v>0.2</v>
      </c>
      <c r="T25" s="380"/>
      <c r="U25" s="25">
        <v>3000</v>
      </c>
      <c r="V25" s="384">
        <v>145</v>
      </c>
      <c r="W25" s="383">
        <f t="shared" si="14"/>
        <v>30400</v>
      </c>
      <c r="X25" s="383">
        <f t="shared" si="14"/>
        <v>30400</v>
      </c>
      <c r="Y25" s="383">
        <f t="shared" si="14"/>
        <v>30400</v>
      </c>
      <c r="Z25" s="383">
        <f t="shared" si="14"/>
        <v>30400</v>
      </c>
      <c r="AA25" s="383">
        <f t="shared" si="14"/>
        <v>30400</v>
      </c>
      <c r="AB25" s="383">
        <f t="shared" si="14"/>
        <v>30400</v>
      </c>
      <c r="AC25" s="383">
        <f t="shared" si="14"/>
        <v>30400</v>
      </c>
      <c r="AD25" s="383">
        <f t="shared" si="14"/>
        <v>30400</v>
      </c>
      <c r="AE25" s="383">
        <f t="shared" si="14"/>
        <v>30400</v>
      </c>
      <c r="AF25" s="383">
        <f t="shared" si="14"/>
        <v>30400</v>
      </c>
      <c r="AG25" s="383">
        <f t="shared" si="14"/>
        <v>30400</v>
      </c>
      <c r="AH25" s="383">
        <f t="shared" si="14"/>
        <v>30400</v>
      </c>
      <c r="AI25" s="383">
        <f t="shared" si="279"/>
        <v>364800</v>
      </c>
      <c r="AJ25" s="385"/>
      <c r="AK25" s="383">
        <f t="shared" si="280"/>
        <v>6080</v>
      </c>
      <c r="AL25" s="383">
        <f t="shared" si="281"/>
        <v>6080</v>
      </c>
      <c r="AM25" s="383">
        <f t="shared" si="282"/>
        <v>6080</v>
      </c>
      <c r="AN25" s="383">
        <f t="shared" si="283"/>
        <v>6080</v>
      </c>
      <c r="AO25" s="383">
        <f t="shared" si="284"/>
        <v>6080</v>
      </c>
      <c r="AP25" s="383">
        <f t="shared" si="285"/>
        <v>6080</v>
      </c>
      <c r="AQ25" s="383">
        <f t="shared" si="286"/>
        <v>6080</v>
      </c>
      <c r="AR25" s="383">
        <f t="shared" si="287"/>
        <v>6080</v>
      </c>
      <c r="AS25" s="383">
        <f t="shared" si="288"/>
        <v>6080</v>
      </c>
      <c r="AT25" s="383">
        <f t="shared" si="289"/>
        <v>6080</v>
      </c>
      <c r="AU25" s="383">
        <f t="shared" si="290"/>
        <v>6080</v>
      </c>
      <c r="AV25" s="383">
        <f t="shared" si="291"/>
        <v>6080</v>
      </c>
      <c r="AW25" s="383">
        <f t="shared" si="292"/>
        <v>72960</v>
      </c>
      <c r="AX25" s="385"/>
      <c r="AY25" s="25">
        <f t="shared" si="163"/>
        <v>1210</v>
      </c>
      <c r="AZ25" s="25">
        <f t="shared" si="163"/>
        <v>1100</v>
      </c>
      <c r="BA25" s="25">
        <f t="shared" si="163"/>
        <v>1155</v>
      </c>
      <c r="BB25" s="25">
        <f t="shared" si="163"/>
        <v>1100</v>
      </c>
      <c r="BC25" s="25">
        <f t="shared" si="163"/>
        <v>1155</v>
      </c>
      <c r="BD25" s="25">
        <f t="shared" si="163"/>
        <v>1155</v>
      </c>
      <c r="BE25" s="25">
        <f t="shared" si="163"/>
        <v>1100</v>
      </c>
      <c r="BF25" s="25">
        <f t="shared" si="163"/>
        <v>1265</v>
      </c>
      <c r="BG25" s="25">
        <f t="shared" si="163"/>
        <v>1045</v>
      </c>
      <c r="BH25" s="25">
        <f t="shared" si="163"/>
        <v>1265</v>
      </c>
      <c r="BI25" s="25">
        <f t="shared" si="163"/>
        <v>1210</v>
      </c>
      <c r="BJ25" s="25">
        <f t="shared" si="163"/>
        <v>990</v>
      </c>
      <c r="BK25" s="383">
        <f t="shared" si="293"/>
        <v>13750</v>
      </c>
      <c r="BL25" s="385"/>
      <c r="BM25" s="25">
        <f t="shared" si="294"/>
        <v>9120</v>
      </c>
      <c r="BN25" s="25">
        <f t="shared" si="295"/>
        <v>9120</v>
      </c>
      <c r="BO25" s="25">
        <f t="shared" si="296"/>
        <v>9120</v>
      </c>
      <c r="BP25" s="25">
        <f t="shared" si="297"/>
        <v>9120</v>
      </c>
      <c r="BQ25" s="25">
        <f t="shared" si="298"/>
        <v>9120</v>
      </c>
      <c r="BR25" s="25">
        <f t="shared" si="299"/>
        <v>9120</v>
      </c>
      <c r="BS25" s="25">
        <f t="shared" si="300"/>
        <v>9120</v>
      </c>
      <c r="BT25" s="25">
        <f t="shared" si="301"/>
        <v>9120</v>
      </c>
      <c r="BU25" s="25">
        <f t="shared" si="302"/>
        <v>9120</v>
      </c>
      <c r="BV25" s="25">
        <f t="shared" si="303"/>
        <v>9120</v>
      </c>
      <c r="BW25" s="25">
        <f t="shared" si="304"/>
        <v>9120</v>
      </c>
      <c r="BX25" s="25">
        <f t="shared" si="305"/>
        <v>9120</v>
      </c>
      <c r="BY25" s="383">
        <f t="shared" si="306"/>
        <v>109440</v>
      </c>
      <c r="BZ25" s="385"/>
      <c r="CA25" s="25">
        <f t="shared" si="307"/>
        <v>3283.2</v>
      </c>
      <c r="CB25" s="25">
        <f t="shared" si="308"/>
        <v>3283.2</v>
      </c>
      <c r="CC25" s="25">
        <f t="shared" si="309"/>
        <v>3283.2</v>
      </c>
      <c r="CD25" s="25">
        <f t="shared" si="310"/>
        <v>3283.2</v>
      </c>
      <c r="CE25" s="25">
        <f t="shared" si="311"/>
        <v>3283.2</v>
      </c>
      <c r="CF25" s="25">
        <f t="shared" si="312"/>
        <v>3283.2</v>
      </c>
      <c r="CG25" s="25">
        <f t="shared" si="313"/>
        <v>3283.2</v>
      </c>
      <c r="CH25" s="25">
        <f t="shared" si="314"/>
        <v>3283.2</v>
      </c>
      <c r="CI25" s="25">
        <f t="shared" si="315"/>
        <v>3283.2</v>
      </c>
      <c r="CJ25" s="25">
        <f t="shared" si="316"/>
        <v>3283.2</v>
      </c>
      <c r="CK25" s="25">
        <f t="shared" si="317"/>
        <v>3283.2</v>
      </c>
      <c r="CL25" s="25">
        <f t="shared" si="318"/>
        <v>3283.2</v>
      </c>
      <c r="CM25" s="383">
        <f t="shared" si="319"/>
        <v>39398.399999999994</v>
      </c>
      <c r="CN25" s="385"/>
      <c r="CO25" s="383"/>
      <c r="CP25" s="383"/>
      <c r="CQ25" s="25">
        <f t="shared" si="191"/>
        <v>3000</v>
      </c>
      <c r="CR25" s="383"/>
      <c r="CS25" s="383"/>
      <c r="CT25" s="383"/>
      <c r="CU25" s="383"/>
      <c r="CV25" s="383"/>
      <c r="CW25" s="383"/>
      <c r="CX25" s="383"/>
      <c r="CY25" s="383"/>
      <c r="CZ25" s="383"/>
      <c r="DA25" s="383">
        <f t="shared" si="320"/>
        <v>3000</v>
      </c>
      <c r="DB25" s="385"/>
      <c r="DC25" s="383">
        <v>333.33333333333331</v>
      </c>
      <c r="DD25" s="383">
        <v>333.33333333333331</v>
      </c>
      <c r="DE25" s="383">
        <v>333.33333333333331</v>
      </c>
      <c r="DF25" s="383">
        <v>333.33333333333331</v>
      </c>
      <c r="DG25" s="383">
        <v>333.33333333333331</v>
      </c>
      <c r="DH25" s="383">
        <v>333.33333333333331</v>
      </c>
      <c r="DI25" s="383">
        <v>333.33333333333331</v>
      </c>
      <c r="DJ25" s="383">
        <v>333.33333333333331</v>
      </c>
      <c r="DK25" s="383">
        <v>333.33333333333331</v>
      </c>
      <c r="DL25" s="383">
        <v>333.33333333333331</v>
      </c>
      <c r="DM25" s="383">
        <v>333.33333333333331</v>
      </c>
      <c r="DN25" s="383">
        <v>333.33333333333331</v>
      </c>
      <c r="DO25" s="383">
        <f t="shared" si="321"/>
        <v>4000.0000000000005</v>
      </c>
      <c r="DP25" s="385"/>
      <c r="DQ25" s="383">
        <f t="shared" si="60"/>
        <v>0</v>
      </c>
      <c r="DR25" s="383">
        <f t="shared" si="60"/>
        <v>0</v>
      </c>
      <c r="DS25" s="383">
        <f t="shared" si="60"/>
        <v>0</v>
      </c>
      <c r="DT25" s="383">
        <f t="shared" si="60"/>
        <v>0</v>
      </c>
      <c r="DU25" s="383">
        <f t="shared" si="60"/>
        <v>0</v>
      </c>
      <c r="DV25" s="383">
        <f t="shared" si="60"/>
        <v>0</v>
      </c>
      <c r="DW25" s="383">
        <f t="shared" si="60"/>
        <v>0</v>
      </c>
      <c r="DX25" s="383">
        <f t="shared" si="60"/>
        <v>0</v>
      </c>
      <c r="DY25" s="383">
        <f t="shared" si="60"/>
        <v>0</v>
      </c>
      <c r="DZ25" s="383">
        <f t="shared" si="60"/>
        <v>0</v>
      </c>
      <c r="EA25" s="383">
        <f t="shared" si="60"/>
        <v>0</v>
      </c>
      <c r="EB25" s="383">
        <f t="shared" si="60"/>
        <v>0</v>
      </c>
      <c r="EC25" s="383">
        <f t="shared" si="322"/>
        <v>0</v>
      </c>
      <c r="ED25" s="385"/>
      <c r="EE25" s="383">
        <f t="shared" si="323"/>
        <v>50093.2</v>
      </c>
      <c r="EF25" s="383">
        <f t="shared" si="324"/>
        <v>49983.199999999997</v>
      </c>
      <c r="EG25" s="383">
        <f t="shared" si="325"/>
        <v>50038.2</v>
      </c>
      <c r="EH25" s="383">
        <f t="shared" si="326"/>
        <v>49983.199999999997</v>
      </c>
      <c r="EI25" s="383">
        <f t="shared" si="327"/>
        <v>50038.2</v>
      </c>
      <c r="EJ25" s="383">
        <f t="shared" si="328"/>
        <v>50038.2</v>
      </c>
      <c r="EK25" s="383">
        <f t="shared" si="329"/>
        <v>49983.199999999997</v>
      </c>
      <c r="EL25" s="383">
        <f t="shared" si="330"/>
        <v>50148.2</v>
      </c>
      <c r="EM25" s="383">
        <f t="shared" si="331"/>
        <v>49928.2</v>
      </c>
      <c r="EN25" s="383">
        <f t="shared" si="332"/>
        <v>50148.2</v>
      </c>
      <c r="EO25" s="383">
        <f t="shared" si="333"/>
        <v>50093.2</v>
      </c>
      <c r="EP25" s="383">
        <f t="shared" si="334"/>
        <v>49873.2</v>
      </c>
      <c r="EQ25" s="383">
        <f t="shared" si="335"/>
        <v>600348.4</v>
      </c>
      <c r="ER25" s="378"/>
    </row>
    <row r="26" spans="1:148" s="378" customFormat="1" outlineLevel="1">
      <c r="A26" s="364">
        <f t="shared" si="9"/>
        <v>607348.4</v>
      </c>
      <c r="B26" s="364">
        <f t="shared" si="10"/>
        <v>600348.4</v>
      </c>
      <c r="C26" s="364">
        <f t="shared" si="11"/>
        <v>3000</v>
      </c>
      <c r="D26" s="364">
        <f t="shared" si="12"/>
        <v>4000.0000000000005</v>
      </c>
      <c r="E26" s="364">
        <f t="shared" si="13"/>
        <v>0</v>
      </c>
      <c r="F26" s="365">
        <v>29000.000000000004</v>
      </c>
      <c r="G26" s="366">
        <v>139</v>
      </c>
      <c r="H26" s="375">
        <v>8200</v>
      </c>
      <c r="I26" s="376" t="s">
        <v>72</v>
      </c>
      <c r="J26" s="366">
        <v>1</v>
      </c>
      <c r="K26" s="366" t="s">
        <v>144</v>
      </c>
      <c r="L26" s="366" t="s">
        <v>146</v>
      </c>
      <c r="M26" s="377" t="s">
        <v>393</v>
      </c>
      <c r="N26" s="25">
        <v>190</v>
      </c>
      <c r="O26" s="25">
        <v>40</v>
      </c>
      <c r="P26" s="126">
        <f t="shared" ref="P26:P29" si="404">N26*O26*4</f>
        <v>30400</v>
      </c>
      <c r="Q26" s="126">
        <f t="shared" si="75"/>
        <v>6080</v>
      </c>
      <c r="R26" s="126">
        <f t="shared" si="76"/>
        <v>36480</v>
      </c>
      <c r="S26" s="369">
        <v>0.2</v>
      </c>
      <c r="T26" s="370"/>
      <c r="U26" s="25">
        <v>3000</v>
      </c>
      <c r="V26" s="382">
        <v>120</v>
      </c>
      <c r="W26" s="25">
        <f t="shared" si="14"/>
        <v>30400</v>
      </c>
      <c r="X26" s="25">
        <f t="shared" si="14"/>
        <v>30400</v>
      </c>
      <c r="Y26" s="25">
        <f t="shared" si="14"/>
        <v>30400</v>
      </c>
      <c r="Z26" s="25">
        <f t="shared" si="14"/>
        <v>30400</v>
      </c>
      <c r="AA26" s="25">
        <f t="shared" si="14"/>
        <v>30400</v>
      </c>
      <c r="AB26" s="25">
        <f t="shared" si="14"/>
        <v>30400</v>
      </c>
      <c r="AC26" s="25">
        <f t="shared" si="14"/>
        <v>30400</v>
      </c>
      <c r="AD26" s="25">
        <f t="shared" si="14"/>
        <v>30400</v>
      </c>
      <c r="AE26" s="25">
        <f t="shared" si="14"/>
        <v>30400</v>
      </c>
      <c r="AF26" s="25">
        <f t="shared" si="14"/>
        <v>30400</v>
      </c>
      <c r="AG26" s="25">
        <f t="shared" si="14"/>
        <v>30400</v>
      </c>
      <c r="AH26" s="25">
        <f t="shared" si="14"/>
        <v>30400</v>
      </c>
      <c r="AI26" s="25">
        <f t="shared" si="15"/>
        <v>364800</v>
      </c>
      <c r="AJ26" s="10"/>
      <c r="AK26" s="25">
        <f t="shared" si="16"/>
        <v>6080</v>
      </c>
      <c r="AL26" s="25">
        <f t="shared" si="17"/>
        <v>6080</v>
      </c>
      <c r="AM26" s="25">
        <f t="shared" si="18"/>
        <v>6080</v>
      </c>
      <c r="AN26" s="25">
        <f t="shared" si="19"/>
        <v>6080</v>
      </c>
      <c r="AO26" s="25">
        <f t="shared" si="20"/>
        <v>6080</v>
      </c>
      <c r="AP26" s="25">
        <f t="shared" si="21"/>
        <v>6080</v>
      </c>
      <c r="AQ26" s="25">
        <f t="shared" si="22"/>
        <v>6080</v>
      </c>
      <c r="AR26" s="25">
        <f t="shared" si="23"/>
        <v>6080</v>
      </c>
      <c r="AS26" s="25">
        <f t="shared" si="24"/>
        <v>6080</v>
      </c>
      <c r="AT26" s="25">
        <f t="shared" si="25"/>
        <v>6080</v>
      </c>
      <c r="AU26" s="25">
        <f t="shared" si="26"/>
        <v>6080</v>
      </c>
      <c r="AV26" s="25">
        <f t="shared" si="27"/>
        <v>6080</v>
      </c>
      <c r="AW26" s="25">
        <f t="shared" si="28"/>
        <v>72960</v>
      </c>
      <c r="AX26" s="10"/>
      <c r="AY26" s="25">
        <f t="shared" si="163"/>
        <v>1210</v>
      </c>
      <c r="AZ26" s="25">
        <f t="shared" si="163"/>
        <v>1100</v>
      </c>
      <c r="BA26" s="25">
        <f t="shared" si="163"/>
        <v>1155</v>
      </c>
      <c r="BB26" s="25">
        <f t="shared" si="163"/>
        <v>1100</v>
      </c>
      <c r="BC26" s="25">
        <f t="shared" si="163"/>
        <v>1155</v>
      </c>
      <c r="BD26" s="25">
        <f t="shared" si="163"/>
        <v>1155</v>
      </c>
      <c r="BE26" s="25">
        <f t="shared" si="163"/>
        <v>1100</v>
      </c>
      <c r="BF26" s="25">
        <f t="shared" si="163"/>
        <v>1265</v>
      </c>
      <c r="BG26" s="25">
        <f t="shared" si="163"/>
        <v>1045</v>
      </c>
      <c r="BH26" s="25">
        <f t="shared" si="163"/>
        <v>1265</v>
      </c>
      <c r="BI26" s="25">
        <f t="shared" si="163"/>
        <v>1210</v>
      </c>
      <c r="BJ26" s="25">
        <f t="shared" si="163"/>
        <v>990</v>
      </c>
      <c r="BK26" s="25">
        <f t="shared" si="29"/>
        <v>13750</v>
      </c>
      <c r="BL26" s="10"/>
      <c r="BM26" s="25">
        <f t="shared" si="30"/>
        <v>9120</v>
      </c>
      <c r="BN26" s="25">
        <f t="shared" si="31"/>
        <v>9120</v>
      </c>
      <c r="BO26" s="25">
        <f t="shared" si="32"/>
        <v>9120</v>
      </c>
      <c r="BP26" s="25">
        <f t="shared" si="33"/>
        <v>9120</v>
      </c>
      <c r="BQ26" s="25">
        <f t="shared" si="34"/>
        <v>9120</v>
      </c>
      <c r="BR26" s="25">
        <f t="shared" si="35"/>
        <v>9120</v>
      </c>
      <c r="BS26" s="25">
        <f t="shared" si="36"/>
        <v>9120</v>
      </c>
      <c r="BT26" s="25">
        <f t="shared" si="37"/>
        <v>9120</v>
      </c>
      <c r="BU26" s="25">
        <f t="shared" si="38"/>
        <v>9120</v>
      </c>
      <c r="BV26" s="25">
        <f t="shared" si="39"/>
        <v>9120</v>
      </c>
      <c r="BW26" s="25">
        <f t="shared" si="40"/>
        <v>9120</v>
      </c>
      <c r="BX26" s="25">
        <f t="shared" si="41"/>
        <v>9120</v>
      </c>
      <c r="BY26" s="25">
        <f t="shared" si="42"/>
        <v>109440</v>
      </c>
      <c r="BZ26" s="10"/>
      <c r="CA26" s="25">
        <f t="shared" si="43"/>
        <v>3283.2</v>
      </c>
      <c r="CB26" s="25">
        <f t="shared" si="44"/>
        <v>3283.2</v>
      </c>
      <c r="CC26" s="25">
        <f t="shared" si="45"/>
        <v>3283.2</v>
      </c>
      <c r="CD26" s="25">
        <f t="shared" si="46"/>
        <v>3283.2</v>
      </c>
      <c r="CE26" s="25">
        <f t="shared" si="47"/>
        <v>3283.2</v>
      </c>
      <c r="CF26" s="25">
        <f t="shared" si="48"/>
        <v>3283.2</v>
      </c>
      <c r="CG26" s="25">
        <f t="shared" si="49"/>
        <v>3283.2</v>
      </c>
      <c r="CH26" s="25">
        <f t="shared" si="50"/>
        <v>3283.2</v>
      </c>
      <c r="CI26" s="25">
        <f t="shared" si="51"/>
        <v>3283.2</v>
      </c>
      <c r="CJ26" s="25">
        <f t="shared" si="52"/>
        <v>3283.2</v>
      </c>
      <c r="CK26" s="25">
        <f t="shared" si="53"/>
        <v>3283.2</v>
      </c>
      <c r="CL26" s="25">
        <f t="shared" si="54"/>
        <v>3283.2</v>
      </c>
      <c r="CM26" s="25">
        <f t="shared" si="55"/>
        <v>39398.399999999994</v>
      </c>
      <c r="CN26" s="10"/>
      <c r="CO26" s="25"/>
      <c r="CP26" s="25"/>
      <c r="CQ26" s="25">
        <f t="shared" si="191"/>
        <v>3000</v>
      </c>
      <c r="CR26" s="25"/>
      <c r="CS26" s="25"/>
      <c r="CT26" s="25"/>
      <c r="CU26" s="25"/>
      <c r="CV26" s="25"/>
      <c r="CW26" s="25"/>
      <c r="CX26" s="25"/>
      <c r="CY26" s="25"/>
      <c r="CZ26" s="25"/>
      <c r="DA26" s="25">
        <f t="shared" si="58"/>
        <v>3000</v>
      </c>
      <c r="DB26" s="10"/>
      <c r="DC26" s="25">
        <v>333.33333333333331</v>
      </c>
      <c r="DD26" s="25">
        <v>333.33333333333331</v>
      </c>
      <c r="DE26" s="25">
        <v>333.33333333333331</v>
      </c>
      <c r="DF26" s="25">
        <v>333.33333333333331</v>
      </c>
      <c r="DG26" s="25">
        <v>333.33333333333331</v>
      </c>
      <c r="DH26" s="25">
        <v>333.33333333333331</v>
      </c>
      <c r="DI26" s="25">
        <v>333.33333333333331</v>
      </c>
      <c r="DJ26" s="25">
        <v>333.33333333333331</v>
      </c>
      <c r="DK26" s="25">
        <v>333.33333333333331</v>
      </c>
      <c r="DL26" s="25">
        <v>333.33333333333331</v>
      </c>
      <c r="DM26" s="25">
        <v>333.33333333333331</v>
      </c>
      <c r="DN26" s="25">
        <v>333.33333333333331</v>
      </c>
      <c r="DO26" s="25">
        <f t="shared" si="59"/>
        <v>4000.0000000000005</v>
      </c>
      <c r="DP26" s="10"/>
      <c r="DQ26" s="25">
        <f t="shared" si="60"/>
        <v>0</v>
      </c>
      <c r="DR26" s="25">
        <f t="shared" si="60"/>
        <v>0</v>
      </c>
      <c r="DS26" s="25">
        <f t="shared" si="60"/>
        <v>0</v>
      </c>
      <c r="DT26" s="25">
        <f t="shared" si="60"/>
        <v>0</v>
      </c>
      <c r="DU26" s="25">
        <f t="shared" si="60"/>
        <v>0</v>
      </c>
      <c r="DV26" s="25">
        <f t="shared" si="60"/>
        <v>0</v>
      </c>
      <c r="DW26" s="25">
        <f t="shared" si="60"/>
        <v>0</v>
      </c>
      <c r="DX26" s="25">
        <f t="shared" si="60"/>
        <v>0</v>
      </c>
      <c r="DY26" s="25">
        <f t="shared" si="60"/>
        <v>0</v>
      </c>
      <c r="DZ26" s="25">
        <f t="shared" si="60"/>
        <v>0</v>
      </c>
      <c r="EA26" s="25">
        <f t="shared" si="60"/>
        <v>0</v>
      </c>
      <c r="EB26" s="25">
        <f t="shared" si="60"/>
        <v>0</v>
      </c>
      <c r="EC26" s="25">
        <f t="shared" si="61"/>
        <v>0</v>
      </c>
      <c r="ED26" s="10"/>
      <c r="EE26" s="25">
        <f t="shared" si="62"/>
        <v>50093.2</v>
      </c>
      <c r="EF26" s="25">
        <f t="shared" si="63"/>
        <v>49983.199999999997</v>
      </c>
      <c r="EG26" s="25">
        <f t="shared" si="64"/>
        <v>50038.2</v>
      </c>
      <c r="EH26" s="25">
        <f t="shared" si="65"/>
        <v>49983.199999999997</v>
      </c>
      <c r="EI26" s="25">
        <f t="shared" si="66"/>
        <v>50038.2</v>
      </c>
      <c r="EJ26" s="25">
        <f t="shared" si="67"/>
        <v>50038.2</v>
      </c>
      <c r="EK26" s="25">
        <f t="shared" si="68"/>
        <v>49983.199999999997</v>
      </c>
      <c r="EL26" s="25">
        <f t="shared" si="69"/>
        <v>50148.2</v>
      </c>
      <c r="EM26" s="25">
        <f t="shared" si="70"/>
        <v>49928.2</v>
      </c>
      <c r="EN26" s="25">
        <f t="shared" si="71"/>
        <v>50148.2</v>
      </c>
      <c r="EO26" s="25">
        <f t="shared" si="72"/>
        <v>50093.2</v>
      </c>
      <c r="EP26" s="25">
        <f t="shared" si="73"/>
        <v>49873.2</v>
      </c>
      <c r="EQ26" s="25">
        <f t="shared" si="74"/>
        <v>600348.4</v>
      </c>
      <c r="ER26" s="364"/>
    </row>
    <row r="27" spans="1:148" s="364" customFormat="1" outlineLevel="1">
      <c r="A27" s="378">
        <f t="shared" ref="A27" si="405">SUM(B27:E27)</f>
        <v>607348.4</v>
      </c>
      <c r="B27" s="378">
        <f t="shared" ref="B27" si="406">SUM(AI27,AW27,BK27,BY27,CM27)</f>
        <v>600348.4</v>
      </c>
      <c r="C27" s="378">
        <f t="shared" ref="C27" si="407">DA27</f>
        <v>3000</v>
      </c>
      <c r="D27" s="378">
        <f t="shared" ref="D27" si="408">DO27</f>
        <v>4000.0000000000005</v>
      </c>
      <c r="E27" s="378">
        <f t="shared" ref="E27" si="409">EC27</f>
        <v>0</v>
      </c>
      <c r="F27" s="379">
        <v>42042.290775350899</v>
      </c>
      <c r="G27" s="371">
        <v>140</v>
      </c>
      <c r="H27" s="375">
        <v>8200</v>
      </c>
      <c r="I27" s="376" t="s">
        <v>72</v>
      </c>
      <c r="J27" s="375">
        <v>1</v>
      </c>
      <c r="K27" s="375" t="s">
        <v>144</v>
      </c>
      <c r="L27" s="375" t="s">
        <v>146</v>
      </c>
      <c r="M27" s="377" t="s">
        <v>393</v>
      </c>
      <c r="N27" s="25">
        <v>190</v>
      </c>
      <c r="O27" s="383">
        <v>40</v>
      </c>
      <c r="P27" s="126">
        <f t="shared" si="404"/>
        <v>30400</v>
      </c>
      <c r="Q27" s="126">
        <f t="shared" ref="Q27" si="410">P27*S27</f>
        <v>6080</v>
      </c>
      <c r="R27" s="126">
        <f t="shared" ref="R27" si="411">Q27+P27</f>
        <v>36480</v>
      </c>
      <c r="S27" s="369">
        <v>0.2</v>
      </c>
      <c r="T27" s="380"/>
      <c r="U27" s="25">
        <v>3000</v>
      </c>
      <c r="V27" s="384">
        <v>145</v>
      </c>
      <c r="W27" s="383">
        <f t="shared" si="14"/>
        <v>30400</v>
      </c>
      <c r="X27" s="383">
        <f t="shared" si="14"/>
        <v>30400</v>
      </c>
      <c r="Y27" s="383">
        <f t="shared" si="14"/>
        <v>30400</v>
      </c>
      <c r="Z27" s="383">
        <f t="shared" si="14"/>
        <v>30400</v>
      </c>
      <c r="AA27" s="383">
        <f t="shared" si="14"/>
        <v>30400</v>
      </c>
      <c r="AB27" s="383">
        <f t="shared" si="14"/>
        <v>30400</v>
      </c>
      <c r="AC27" s="383">
        <f t="shared" si="14"/>
        <v>30400</v>
      </c>
      <c r="AD27" s="383">
        <f t="shared" si="14"/>
        <v>30400</v>
      </c>
      <c r="AE27" s="383">
        <f t="shared" si="14"/>
        <v>30400</v>
      </c>
      <c r="AF27" s="383">
        <f t="shared" si="14"/>
        <v>30400</v>
      </c>
      <c r="AG27" s="383">
        <f t="shared" si="14"/>
        <v>30400</v>
      </c>
      <c r="AH27" s="383">
        <f t="shared" si="14"/>
        <v>30400</v>
      </c>
      <c r="AI27" s="383">
        <f t="shared" ref="AI27" si="412">SUM(W27:AH27)</f>
        <v>364800</v>
      </c>
      <c r="AJ27" s="385"/>
      <c r="AK27" s="383">
        <f t="shared" ref="AK27" si="413">W27*$S27</f>
        <v>6080</v>
      </c>
      <c r="AL27" s="383">
        <f t="shared" ref="AL27" si="414">X27*$S27</f>
        <v>6080</v>
      </c>
      <c r="AM27" s="383">
        <f t="shared" ref="AM27" si="415">Y27*$S27</f>
        <v>6080</v>
      </c>
      <c r="AN27" s="383">
        <f t="shared" ref="AN27" si="416">Z27*$S27</f>
        <v>6080</v>
      </c>
      <c r="AO27" s="383">
        <f t="shared" ref="AO27" si="417">AA27*$S27</f>
        <v>6080</v>
      </c>
      <c r="AP27" s="383">
        <f t="shared" ref="AP27" si="418">AB27*$S27</f>
        <v>6080</v>
      </c>
      <c r="AQ27" s="383">
        <f t="shared" ref="AQ27" si="419">AC27*$S27</f>
        <v>6080</v>
      </c>
      <c r="AR27" s="383">
        <f t="shared" ref="AR27" si="420">AD27*$S27</f>
        <v>6080</v>
      </c>
      <c r="AS27" s="383">
        <f t="shared" ref="AS27" si="421">AE27*$S27</f>
        <v>6080</v>
      </c>
      <c r="AT27" s="383">
        <f t="shared" ref="AT27" si="422">AF27*$S27</f>
        <v>6080</v>
      </c>
      <c r="AU27" s="383">
        <f t="shared" ref="AU27" si="423">AG27*$S27</f>
        <v>6080</v>
      </c>
      <c r="AV27" s="383">
        <f t="shared" ref="AV27" si="424">AH27*$S27</f>
        <v>6080</v>
      </c>
      <c r="AW27" s="383">
        <f t="shared" ref="AW27" si="425">SUM(AK27:AV27)</f>
        <v>72960</v>
      </c>
      <c r="AX27" s="385"/>
      <c r="AY27" s="25">
        <f t="shared" si="163"/>
        <v>1210</v>
      </c>
      <c r="AZ27" s="25">
        <f t="shared" si="163"/>
        <v>1100</v>
      </c>
      <c r="BA27" s="25">
        <f t="shared" si="163"/>
        <v>1155</v>
      </c>
      <c r="BB27" s="25">
        <f t="shared" si="163"/>
        <v>1100</v>
      </c>
      <c r="BC27" s="25">
        <f t="shared" si="163"/>
        <v>1155</v>
      </c>
      <c r="BD27" s="25">
        <f t="shared" si="163"/>
        <v>1155</v>
      </c>
      <c r="BE27" s="25">
        <f t="shared" si="163"/>
        <v>1100</v>
      </c>
      <c r="BF27" s="25">
        <f t="shared" si="163"/>
        <v>1265</v>
      </c>
      <c r="BG27" s="25">
        <f t="shared" si="163"/>
        <v>1045</v>
      </c>
      <c r="BH27" s="25">
        <f t="shared" si="163"/>
        <v>1265</v>
      </c>
      <c r="BI27" s="25">
        <f t="shared" si="163"/>
        <v>1210</v>
      </c>
      <c r="BJ27" s="25">
        <f t="shared" si="163"/>
        <v>990</v>
      </c>
      <c r="BK27" s="383">
        <f t="shared" ref="BK27" si="426">SUM(AY27:BJ27)</f>
        <v>13750</v>
      </c>
      <c r="BL27" s="385"/>
      <c r="BM27" s="25">
        <f t="shared" ref="BM27" si="427">SUM(W27,AK27)*25%</f>
        <v>9120</v>
      </c>
      <c r="BN27" s="25">
        <f t="shared" ref="BN27" si="428">SUM(X27,AL27)*25%</f>
        <v>9120</v>
      </c>
      <c r="BO27" s="25">
        <f t="shared" ref="BO27" si="429">SUM(Y27,AM27)*25%</f>
        <v>9120</v>
      </c>
      <c r="BP27" s="25">
        <f t="shared" ref="BP27" si="430">SUM(Z27,AN27)*25%</f>
        <v>9120</v>
      </c>
      <c r="BQ27" s="25">
        <f t="shared" ref="BQ27" si="431">SUM(AA27,AO27)*25%</f>
        <v>9120</v>
      </c>
      <c r="BR27" s="25">
        <f t="shared" ref="BR27" si="432">SUM(AB27,AP27)*25%</f>
        <v>9120</v>
      </c>
      <c r="BS27" s="25">
        <f t="shared" ref="BS27" si="433">SUM(AC27,AQ27)*25%</f>
        <v>9120</v>
      </c>
      <c r="BT27" s="25">
        <f t="shared" ref="BT27" si="434">SUM(AD27,AR27)*25%</f>
        <v>9120</v>
      </c>
      <c r="BU27" s="25">
        <f t="shared" ref="BU27" si="435">SUM(AE27,AS27)*25%</f>
        <v>9120</v>
      </c>
      <c r="BV27" s="25">
        <f t="shared" ref="BV27" si="436">SUM(AF27,AT27)*25%</f>
        <v>9120</v>
      </c>
      <c r="BW27" s="25">
        <f t="shared" ref="BW27" si="437">SUM(AG27,AU27)*25%</f>
        <v>9120</v>
      </c>
      <c r="BX27" s="25">
        <f t="shared" ref="BX27" si="438">SUM(AH27,AV27)*25%</f>
        <v>9120</v>
      </c>
      <c r="BY27" s="383">
        <f t="shared" ref="BY27" si="439">SUM(BM27:BX27)</f>
        <v>109440</v>
      </c>
      <c r="BZ27" s="385"/>
      <c r="CA27" s="25">
        <f t="shared" ref="CA27" si="440">SUM(W27,AK27)*9%</f>
        <v>3283.2</v>
      </c>
      <c r="CB27" s="25">
        <f t="shared" ref="CB27" si="441">SUM(X27,AL27)*9%</f>
        <v>3283.2</v>
      </c>
      <c r="CC27" s="25">
        <f t="shared" ref="CC27" si="442">SUM(Y27,AM27)*9%</f>
        <v>3283.2</v>
      </c>
      <c r="CD27" s="25">
        <f t="shared" ref="CD27" si="443">SUM(Z27,AN27)*9%</f>
        <v>3283.2</v>
      </c>
      <c r="CE27" s="25">
        <f t="shared" ref="CE27" si="444">SUM(AA27,AO27)*9%</f>
        <v>3283.2</v>
      </c>
      <c r="CF27" s="25">
        <f t="shared" ref="CF27" si="445">SUM(AB27,AP27)*9%</f>
        <v>3283.2</v>
      </c>
      <c r="CG27" s="25">
        <f t="shared" ref="CG27" si="446">SUM(AC27,AQ27)*9%</f>
        <v>3283.2</v>
      </c>
      <c r="CH27" s="25">
        <f t="shared" ref="CH27" si="447">SUM(AD27,AR27)*9%</f>
        <v>3283.2</v>
      </c>
      <c r="CI27" s="25">
        <f t="shared" ref="CI27" si="448">SUM(AE27,AS27)*9%</f>
        <v>3283.2</v>
      </c>
      <c r="CJ27" s="25">
        <f t="shared" ref="CJ27" si="449">SUM(AF27,AT27)*9%</f>
        <v>3283.2</v>
      </c>
      <c r="CK27" s="25">
        <f t="shared" ref="CK27" si="450">SUM(AG27,AU27)*9%</f>
        <v>3283.2</v>
      </c>
      <c r="CL27" s="25">
        <f t="shared" ref="CL27" si="451">SUM(AH27,AV27)*9%</f>
        <v>3283.2</v>
      </c>
      <c r="CM27" s="383">
        <f t="shared" ref="CM27" si="452">SUM(CA27:CL27)</f>
        <v>39398.399999999994</v>
      </c>
      <c r="CN27" s="385"/>
      <c r="CO27" s="383"/>
      <c r="CP27" s="383"/>
      <c r="CQ27" s="25">
        <f t="shared" si="191"/>
        <v>3000</v>
      </c>
      <c r="CR27" s="383"/>
      <c r="CS27" s="383"/>
      <c r="CT27" s="383"/>
      <c r="CU27" s="383"/>
      <c r="CV27" s="383"/>
      <c r="CW27" s="383"/>
      <c r="CX27" s="383"/>
      <c r="CY27" s="383"/>
      <c r="CZ27" s="383"/>
      <c r="DA27" s="383">
        <f t="shared" ref="DA27" si="453">SUM(CO27:CZ27)</f>
        <v>3000</v>
      </c>
      <c r="DB27" s="385"/>
      <c r="DC27" s="383">
        <v>333.33333333333331</v>
      </c>
      <c r="DD27" s="383">
        <v>333.33333333333331</v>
      </c>
      <c r="DE27" s="383">
        <v>333.33333333333331</v>
      </c>
      <c r="DF27" s="383">
        <v>333.33333333333331</v>
      </c>
      <c r="DG27" s="383">
        <v>333.33333333333331</v>
      </c>
      <c r="DH27" s="383">
        <v>333.33333333333331</v>
      </c>
      <c r="DI27" s="383">
        <v>333.33333333333331</v>
      </c>
      <c r="DJ27" s="383">
        <v>333.33333333333331</v>
      </c>
      <c r="DK27" s="383">
        <v>333.33333333333331</v>
      </c>
      <c r="DL27" s="383">
        <v>333.33333333333331</v>
      </c>
      <c r="DM27" s="383">
        <v>333.33333333333331</v>
      </c>
      <c r="DN27" s="383">
        <v>333.33333333333331</v>
      </c>
      <c r="DO27" s="383">
        <f t="shared" ref="DO27" si="454">SUM(DC27:DN27)</f>
        <v>4000.0000000000005</v>
      </c>
      <c r="DP27" s="385"/>
      <c r="DQ27" s="383">
        <f t="shared" si="60"/>
        <v>0</v>
      </c>
      <c r="DR27" s="383">
        <f t="shared" si="60"/>
        <v>0</v>
      </c>
      <c r="DS27" s="383">
        <f t="shared" si="60"/>
        <v>0</v>
      </c>
      <c r="DT27" s="383">
        <f t="shared" si="60"/>
        <v>0</v>
      </c>
      <c r="DU27" s="383">
        <f t="shared" si="60"/>
        <v>0</v>
      </c>
      <c r="DV27" s="383">
        <f t="shared" si="60"/>
        <v>0</v>
      </c>
      <c r="DW27" s="383">
        <f t="shared" si="60"/>
        <v>0</v>
      </c>
      <c r="DX27" s="383">
        <f t="shared" si="60"/>
        <v>0</v>
      </c>
      <c r="DY27" s="383">
        <f t="shared" si="60"/>
        <v>0</v>
      </c>
      <c r="DZ27" s="383">
        <f t="shared" si="60"/>
        <v>0</v>
      </c>
      <c r="EA27" s="383">
        <f t="shared" si="60"/>
        <v>0</v>
      </c>
      <c r="EB27" s="383">
        <f t="shared" si="60"/>
        <v>0</v>
      </c>
      <c r="EC27" s="383">
        <f t="shared" ref="EC27" si="455">SUM(DQ27:EB27)</f>
        <v>0</v>
      </c>
      <c r="ED27" s="385"/>
      <c r="EE27" s="383">
        <f t="shared" ref="EE27" si="456">SUM(W27,AK27,AY27,BM27,CA27)</f>
        <v>50093.2</v>
      </c>
      <c r="EF27" s="383">
        <f t="shared" ref="EF27" si="457">SUM(X27,AL27,AZ27,BN27,CB27)</f>
        <v>49983.199999999997</v>
      </c>
      <c r="EG27" s="383">
        <f t="shared" ref="EG27" si="458">SUM(Y27,AM27,BA27,BO27,CC27)</f>
        <v>50038.2</v>
      </c>
      <c r="EH27" s="383">
        <f t="shared" ref="EH27" si="459">SUM(Z27,AN27,BB27,BP27,CD27)</f>
        <v>49983.199999999997</v>
      </c>
      <c r="EI27" s="383">
        <f t="shared" ref="EI27" si="460">SUM(AA27,AO27,BC27,BQ27,CE27)</f>
        <v>50038.2</v>
      </c>
      <c r="EJ27" s="383">
        <f t="shared" ref="EJ27" si="461">SUM(AB27,AP27,BD27,BR27,CF27)</f>
        <v>50038.2</v>
      </c>
      <c r="EK27" s="383">
        <f t="shared" ref="EK27" si="462">SUM(AC27,AQ27,BE27,BS27,CG27)</f>
        <v>49983.199999999997</v>
      </c>
      <c r="EL27" s="383">
        <f t="shared" ref="EL27" si="463">SUM(AD27,AR27,BF27,BT27,CH27)</f>
        <v>50148.2</v>
      </c>
      <c r="EM27" s="383">
        <f t="shared" ref="EM27" si="464">SUM(AE27,AS27,BG27,BU27,CI27)</f>
        <v>49928.2</v>
      </c>
      <c r="EN27" s="383">
        <f t="shared" ref="EN27" si="465">SUM(AF27,AT27,BH27,BV27,CJ27)</f>
        <v>50148.2</v>
      </c>
      <c r="EO27" s="383">
        <f t="shared" ref="EO27" si="466">SUM(AG27,AU27,BI27,BW27,CK27)</f>
        <v>50093.2</v>
      </c>
      <c r="EP27" s="383">
        <f t="shared" ref="EP27" si="467">SUM(AH27,AV27,BJ27,BX27,CL27)</f>
        <v>49873.2</v>
      </c>
      <c r="EQ27" s="383">
        <f t="shared" ref="EQ27" si="468">SUM(EE27:EP27)</f>
        <v>600348.4</v>
      </c>
      <c r="ER27" s="378"/>
    </row>
    <row r="28" spans="1:148" s="364" customFormat="1" outlineLevel="1">
      <c r="A28" s="378">
        <f t="shared" si="9"/>
        <v>607348.4</v>
      </c>
      <c r="B28" s="378">
        <f t="shared" si="10"/>
        <v>600348.4</v>
      </c>
      <c r="C28" s="378">
        <f t="shared" si="11"/>
        <v>3000</v>
      </c>
      <c r="D28" s="378">
        <f t="shared" si="12"/>
        <v>4000.0000000000005</v>
      </c>
      <c r="E28" s="378">
        <f t="shared" si="13"/>
        <v>0</v>
      </c>
      <c r="F28" s="379">
        <v>42042.290775350899</v>
      </c>
      <c r="G28" s="371">
        <v>141</v>
      </c>
      <c r="H28" s="375">
        <v>8200</v>
      </c>
      <c r="I28" s="376" t="s">
        <v>72</v>
      </c>
      <c r="J28" s="375">
        <v>1</v>
      </c>
      <c r="K28" s="375" t="s">
        <v>144</v>
      </c>
      <c r="L28" s="375" t="s">
        <v>146</v>
      </c>
      <c r="M28" s="377" t="s">
        <v>393</v>
      </c>
      <c r="N28" s="25">
        <v>190</v>
      </c>
      <c r="O28" s="383">
        <v>40</v>
      </c>
      <c r="P28" s="126">
        <f t="shared" si="404"/>
        <v>30400</v>
      </c>
      <c r="Q28" s="126">
        <f t="shared" si="75"/>
        <v>6080</v>
      </c>
      <c r="R28" s="126">
        <f t="shared" si="76"/>
        <v>36480</v>
      </c>
      <c r="S28" s="369">
        <v>0.2</v>
      </c>
      <c r="T28" s="380"/>
      <c r="U28" s="25">
        <v>3000</v>
      </c>
      <c r="V28" s="384">
        <v>145</v>
      </c>
      <c r="W28" s="383">
        <f t="shared" si="14"/>
        <v>30400</v>
      </c>
      <c r="X28" s="383">
        <f t="shared" si="14"/>
        <v>30400</v>
      </c>
      <c r="Y28" s="383">
        <f t="shared" si="14"/>
        <v>30400</v>
      </c>
      <c r="Z28" s="383">
        <f t="shared" si="14"/>
        <v>30400</v>
      </c>
      <c r="AA28" s="383">
        <f t="shared" si="14"/>
        <v>30400</v>
      </c>
      <c r="AB28" s="383">
        <f t="shared" si="14"/>
        <v>30400</v>
      </c>
      <c r="AC28" s="383">
        <f t="shared" si="14"/>
        <v>30400</v>
      </c>
      <c r="AD28" s="383">
        <f t="shared" si="14"/>
        <v>30400</v>
      </c>
      <c r="AE28" s="383">
        <f t="shared" si="14"/>
        <v>30400</v>
      </c>
      <c r="AF28" s="383">
        <f t="shared" si="14"/>
        <v>30400</v>
      </c>
      <c r="AG28" s="383">
        <f t="shared" si="14"/>
        <v>30400</v>
      </c>
      <c r="AH28" s="383">
        <f t="shared" si="14"/>
        <v>30400</v>
      </c>
      <c r="AI28" s="383">
        <f t="shared" si="15"/>
        <v>364800</v>
      </c>
      <c r="AJ28" s="385"/>
      <c r="AK28" s="383">
        <f t="shared" si="16"/>
        <v>6080</v>
      </c>
      <c r="AL28" s="383">
        <f t="shared" si="17"/>
        <v>6080</v>
      </c>
      <c r="AM28" s="383">
        <f t="shared" si="18"/>
        <v>6080</v>
      </c>
      <c r="AN28" s="383">
        <f t="shared" si="19"/>
        <v>6080</v>
      </c>
      <c r="AO28" s="383">
        <f t="shared" si="20"/>
        <v>6080</v>
      </c>
      <c r="AP28" s="383">
        <f t="shared" si="21"/>
        <v>6080</v>
      </c>
      <c r="AQ28" s="383">
        <f t="shared" si="22"/>
        <v>6080</v>
      </c>
      <c r="AR28" s="383">
        <f t="shared" si="23"/>
        <v>6080</v>
      </c>
      <c r="AS28" s="383">
        <f t="shared" si="24"/>
        <v>6080</v>
      </c>
      <c r="AT28" s="383">
        <f t="shared" si="25"/>
        <v>6080</v>
      </c>
      <c r="AU28" s="383">
        <f t="shared" si="26"/>
        <v>6080</v>
      </c>
      <c r="AV28" s="383">
        <f t="shared" si="27"/>
        <v>6080</v>
      </c>
      <c r="AW28" s="383">
        <f t="shared" si="28"/>
        <v>72960</v>
      </c>
      <c r="AX28" s="385"/>
      <c r="AY28" s="25">
        <f t="shared" si="163"/>
        <v>1210</v>
      </c>
      <c r="AZ28" s="25">
        <f t="shared" si="163"/>
        <v>1100</v>
      </c>
      <c r="BA28" s="25">
        <f t="shared" si="163"/>
        <v>1155</v>
      </c>
      <c r="BB28" s="25">
        <f t="shared" si="163"/>
        <v>1100</v>
      </c>
      <c r="BC28" s="25">
        <f t="shared" si="163"/>
        <v>1155</v>
      </c>
      <c r="BD28" s="25">
        <f t="shared" si="163"/>
        <v>1155</v>
      </c>
      <c r="BE28" s="25">
        <f t="shared" si="163"/>
        <v>1100</v>
      </c>
      <c r="BF28" s="25">
        <f t="shared" si="163"/>
        <v>1265</v>
      </c>
      <c r="BG28" s="25">
        <f t="shared" si="163"/>
        <v>1045</v>
      </c>
      <c r="BH28" s="25">
        <f t="shared" si="163"/>
        <v>1265</v>
      </c>
      <c r="BI28" s="25">
        <f t="shared" si="163"/>
        <v>1210</v>
      </c>
      <c r="BJ28" s="25">
        <f t="shared" si="163"/>
        <v>990</v>
      </c>
      <c r="BK28" s="383">
        <f t="shared" si="29"/>
        <v>13750</v>
      </c>
      <c r="BL28" s="385"/>
      <c r="BM28" s="25">
        <f t="shared" si="30"/>
        <v>9120</v>
      </c>
      <c r="BN28" s="25">
        <f t="shared" si="31"/>
        <v>9120</v>
      </c>
      <c r="BO28" s="25">
        <f t="shared" si="32"/>
        <v>9120</v>
      </c>
      <c r="BP28" s="25">
        <f t="shared" si="33"/>
        <v>9120</v>
      </c>
      <c r="BQ28" s="25">
        <f t="shared" si="34"/>
        <v>9120</v>
      </c>
      <c r="BR28" s="25">
        <f t="shared" si="35"/>
        <v>9120</v>
      </c>
      <c r="BS28" s="25">
        <f t="shared" si="36"/>
        <v>9120</v>
      </c>
      <c r="BT28" s="25">
        <f t="shared" si="37"/>
        <v>9120</v>
      </c>
      <c r="BU28" s="25">
        <f t="shared" si="38"/>
        <v>9120</v>
      </c>
      <c r="BV28" s="25">
        <f t="shared" si="39"/>
        <v>9120</v>
      </c>
      <c r="BW28" s="25">
        <f t="shared" si="40"/>
        <v>9120</v>
      </c>
      <c r="BX28" s="25">
        <f t="shared" si="41"/>
        <v>9120</v>
      </c>
      <c r="BY28" s="383">
        <f t="shared" si="42"/>
        <v>109440</v>
      </c>
      <c r="BZ28" s="385"/>
      <c r="CA28" s="25">
        <f t="shared" si="43"/>
        <v>3283.2</v>
      </c>
      <c r="CB28" s="25">
        <f t="shared" si="44"/>
        <v>3283.2</v>
      </c>
      <c r="CC28" s="25">
        <f t="shared" si="45"/>
        <v>3283.2</v>
      </c>
      <c r="CD28" s="25">
        <f t="shared" si="46"/>
        <v>3283.2</v>
      </c>
      <c r="CE28" s="25">
        <f t="shared" si="47"/>
        <v>3283.2</v>
      </c>
      <c r="CF28" s="25">
        <f t="shared" si="48"/>
        <v>3283.2</v>
      </c>
      <c r="CG28" s="25">
        <f t="shared" si="49"/>
        <v>3283.2</v>
      </c>
      <c r="CH28" s="25">
        <f t="shared" si="50"/>
        <v>3283.2</v>
      </c>
      <c r="CI28" s="25">
        <f t="shared" si="51"/>
        <v>3283.2</v>
      </c>
      <c r="CJ28" s="25">
        <f t="shared" si="52"/>
        <v>3283.2</v>
      </c>
      <c r="CK28" s="25">
        <f t="shared" si="53"/>
        <v>3283.2</v>
      </c>
      <c r="CL28" s="25">
        <f t="shared" si="54"/>
        <v>3283.2</v>
      </c>
      <c r="CM28" s="383">
        <f t="shared" si="55"/>
        <v>39398.399999999994</v>
      </c>
      <c r="CN28" s="385"/>
      <c r="CO28" s="383"/>
      <c r="CP28" s="383"/>
      <c r="CQ28" s="25">
        <f t="shared" si="191"/>
        <v>3000</v>
      </c>
      <c r="CR28" s="383"/>
      <c r="CS28" s="383"/>
      <c r="CT28" s="383"/>
      <c r="CU28" s="383"/>
      <c r="CV28" s="383"/>
      <c r="CW28" s="383"/>
      <c r="CX28" s="383"/>
      <c r="CY28" s="383"/>
      <c r="CZ28" s="383"/>
      <c r="DA28" s="383">
        <f t="shared" si="58"/>
        <v>3000</v>
      </c>
      <c r="DB28" s="385"/>
      <c r="DC28" s="383">
        <v>333.33333333333331</v>
      </c>
      <c r="DD28" s="383">
        <v>333.33333333333331</v>
      </c>
      <c r="DE28" s="383">
        <v>333.33333333333331</v>
      </c>
      <c r="DF28" s="383">
        <v>333.33333333333331</v>
      </c>
      <c r="DG28" s="383">
        <v>333.33333333333331</v>
      </c>
      <c r="DH28" s="383">
        <v>333.33333333333331</v>
      </c>
      <c r="DI28" s="383">
        <v>333.33333333333331</v>
      </c>
      <c r="DJ28" s="383">
        <v>333.33333333333331</v>
      </c>
      <c r="DK28" s="383">
        <v>333.33333333333331</v>
      </c>
      <c r="DL28" s="383">
        <v>333.33333333333331</v>
      </c>
      <c r="DM28" s="383">
        <v>333.33333333333331</v>
      </c>
      <c r="DN28" s="383">
        <v>333.33333333333331</v>
      </c>
      <c r="DO28" s="383">
        <f t="shared" si="59"/>
        <v>4000.0000000000005</v>
      </c>
      <c r="DP28" s="385"/>
      <c r="DQ28" s="383">
        <f t="shared" si="60"/>
        <v>0</v>
      </c>
      <c r="DR28" s="383">
        <f t="shared" si="60"/>
        <v>0</v>
      </c>
      <c r="DS28" s="383">
        <f t="shared" si="60"/>
        <v>0</v>
      </c>
      <c r="DT28" s="383">
        <f t="shared" si="60"/>
        <v>0</v>
      </c>
      <c r="DU28" s="383">
        <f t="shared" si="60"/>
        <v>0</v>
      </c>
      <c r="DV28" s="383">
        <f t="shared" si="60"/>
        <v>0</v>
      </c>
      <c r="DW28" s="383">
        <f t="shared" si="60"/>
        <v>0</v>
      </c>
      <c r="DX28" s="383">
        <f t="shared" si="60"/>
        <v>0</v>
      </c>
      <c r="DY28" s="383">
        <f t="shared" si="60"/>
        <v>0</v>
      </c>
      <c r="DZ28" s="383">
        <f t="shared" si="60"/>
        <v>0</v>
      </c>
      <c r="EA28" s="383">
        <f t="shared" si="60"/>
        <v>0</v>
      </c>
      <c r="EB28" s="383">
        <f t="shared" si="60"/>
        <v>0</v>
      </c>
      <c r="EC28" s="383">
        <f t="shared" si="61"/>
        <v>0</v>
      </c>
      <c r="ED28" s="385"/>
      <c r="EE28" s="383">
        <f t="shared" si="62"/>
        <v>50093.2</v>
      </c>
      <c r="EF28" s="383">
        <f t="shared" si="63"/>
        <v>49983.199999999997</v>
      </c>
      <c r="EG28" s="383">
        <f t="shared" si="64"/>
        <v>50038.2</v>
      </c>
      <c r="EH28" s="383">
        <f t="shared" si="65"/>
        <v>49983.199999999997</v>
      </c>
      <c r="EI28" s="383">
        <f t="shared" si="66"/>
        <v>50038.2</v>
      </c>
      <c r="EJ28" s="383">
        <f t="shared" si="67"/>
        <v>50038.2</v>
      </c>
      <c r="EK28" s="383">
        <f t="shared" si="68"/>
        <v>49983.199999999997</v>
      </c>
      <c r="EL28" s="383">
        <f t="shared" si="69"/>
        <v>50148.2</v>
      </c>
      <c r="EM28" s="383">
        <f t="shared" si="70"/>
        <v>49928.2</v>
      </c>
      <c r="EN28" s="383">
        <f t="shared" si="71"/>
        <v>50148.2</v>
      </c>
      <c r="EO28" s="383">
        <f t="shared" si="72"/>
        <v>50093.2</v>
      </c>
      <c r="EP28" s="383">
        <f t="shared" si="73"/>
        <v>49873.2</v>
      </c>
      <c r="EQ28" s="383">
        <f t="shared" si="74"/>
        <v>600348.4</v>
      </c>
      <c r="ER28" s="378"/>
    </row>
    <row r="29" spans="1:148" s="374" customFormat="1" outlineLevel="1">
      <c r="A29" s="364">
        <f t="shared" si="9"/>
        <v>607348.4</v>
      </c>
      <c r="B29" s="364">
        <f t="shared" si="10"/>
        <v>600348.4</v>
      </c>
      <c r="C29" s="364">
        <f t="shared" si="11"/>
        <v>3000</v>
      </c>
      <c r="D29" s="364">
        <f t="shared" si="12"/>
        <v>4000.0000000000005</v>
      </c>
      <c r="E29" s="364">
        <f t="shared" si="13"/>
        <v>0</v>
      </c>
      <c r="F29" s="365">
        <v>34059.640387275249</v>
      </c>
      <c r="G29" s="371">
        <v>142</v>
      </c>
      <c r="H29" s="366">
        <v>8200</v>
      </c>
      <c r="I29" s="367" t="s">
        <v>72</v>
      </c>
      <c r="J29" s="366">
        <v>1</v>
      </c>
      <c r="K29" s="366" t="s">
        <v>144</v>
      </c>
      <c r="L29" s="366" t="s">
        <v>146</v>
      </c>
      <c r="M29" s="377" t="s">
        <v>393</v>
      </c>
      <c r="N29" s="25">
        <v>190</v>
      </c>
      <c r="O29" s="25">
        <v>40</v>
      </c>
      <c r="P29" s="126">
        <f t="shared" si="404"/>
        <v>30400</v>
      </c>
      <c r="Q29" s="126">
        <f t="shared" si="75"/>
        <v>6080</v>
      </c>
      <c r="R29" s="126">
        <f t="shared" si="76"/>
        <v>36480</v>
      </c>
      <c r="S29" s="369">
        <v>0.2</v>
      </c>
      <c r="T29" s="370"/>
      <c r="U29" s="25">
        <v>3000</v>
      </c>
      <c r="V29" s="382">
        <v>120</v>
      </c>
      <c r="W29" s="25">
        <f t="shared" si="14"/>
        <v>30400</v>
      </c>
      <c r="X29" s="25">
        <f t="shared" si="14"/>
        <v>30400</v>
      </c>
      <c r="Y29" s="25">
        <f t="shared" si="14"/>
        <v>30400</v>
      </c>
      <c r="Z29" s="25">
        <f t="shared" si="14"/>
        <v>30400</v>
      </c>
      <c r="AA29" s="25">
        <f t="shared" si="14"/>
        <v>30400</v>
      </c>
      <c r="AB29" s="25">
        <f t="shared" si="14"/>
        <v>30400</v>
      </c>
      <c r="AC29" s="25">
        <f t="shared" si="14"/>
        <v>30400</v>
      </c>
      <c r="AD29" s="25">
        <f t="shared" si="14"/>
        <v>30400</v>
      </c>
      <c r="AE29" s="25">
        <f t="shared" si="14"/>
        <v>30400</v>
      </c>
      <c r="AF29" s="25">
        <f t="shared" si="14"/>
        <v>30400</v>
      </c>
      <c r="AG29" s="25">
        <f t="shared" si="14"/>
        <v>30400</v>
      </c>
      <c r="AH29" s="25">
        <f t="shared" si="14"/>
        <v>30400</v>
      </c>
      <c r="AI29" s="25">
        <f t="shared" si="15"/>
        <v>364800</v>
      </c>
      <c r="AJ29" s="10"/>
      <c r="AK29" s="25">
        <f t="shared" si="16"/>
        <v>6080</v>
      </c>
      <c r="AL29" s="25">
        <f t="shared" si="17"/>
        <v>6080</v>
      </c>
      <c r="AM29" s="25">
        <f t="shared" si="18"/>
        <v>6080</v>
      </c>
      <c r="AN29" s="25">
        <f t="shared" si="19"/>
        <v>6080</v>
      </c>
      <c r="AO29" s="25">
        <f t="shared" si="20"/>
        <v>6080</v>
      </c>
      <c r="AP29" s="25">
        <f t="shared" si="21"/>
        <v>6080</v>
      </c>
      <c r="AQ29" s="25">
        <f t="shared" si="22"/>
        <v>6080</v>
      </c>
      <c r="AR29" s="25">
        <f t="shared" si="23"/>
        <v>6080</v>
      </c>
      <c r="AS29" s="25">
        <f t="shared" si="24"/>
        <v>6080</v>
      </c>
      <c r="AT29" s="25">
        <f t="shared" si="25"/>
        <v>6080</v>
      </c>
      <c r="AU29" s="25">
        <f t="shared" si="26"/>
        <v>6080</v>
      </c>
      <c r="AV29" s="25">
        <f t="shared" si="27"/>
        <v>6080</v>
      </c>
      <c r="AW29" s="25">
        <f t="shared" si="28"/>
        <v>72960</v>
      </c>
      <c r="AX29" s="10"/>
      <c r="AY29" s="25">
        <f t="shared" si="163"/>
        <v>1210</v>
      </c>
      <c r="AZ29" s="25">
        <f t="shared" si="163"/>
        <v>1100</v>
      </c>
      <c r="BA29" s="25">
        <f t="shared" si="163"/>
        <v>1155</v>
      </c>
      <c r="BB29" s="25">
        <f t="shared" si="163"/>
        <v>1100</v>
      </c>
      <c r="BC29" s="25">
        <f t="shared" si="163"/>
        <v>1155</v>
      </c>
      <c r="BD29" s="25">
        <f t="shared" si="163"/>
        <v>1155</v>
      </c>
      <c r="BE29" s="25">
        <f t="shared" si="163"/>
        <v>1100</v>
      </c>
      <c r="BF29" s="25">
        <f t="shared" si="163"/>
        <v>1265</v>
      </c>
      <c r="BG29" s="25">
        <f t="shared" si="163"/>
        <v>1045</v>
      </c>
      <c r="BH29" s="25">
        <f t="shared" si="163"/>
        <v>1265</v>
      </c>
      <c r="BI29" s="25">
        <f t="shared" si="163"/>
        <v>1210</v>
      </c>
      <c r="BJ29" s="25">
        <f t="shared" si="163"/>
        <v>990</v>
      </c>
      <c r="BK29" s="25">
        <f t="shared" si="29"/>
        <v>13750</v>
      </c>
      <c r="BL29" s="10"/>
      <c r="BM29" s="25">
        <f t="shared" si="30"/>
        <v>9120</v>
      </c>
      <c r="BN29" s="25">
        <f t="shared" si="31"/>
        <v>9120</v>
      </c>
      <c r="BO29" s="25">
        <f t="shared" si="32"/>
        <v>9120</v>
      </c>
      <c r="BP29" s="25">
        <f t="shared" si="33"/>
        <v>9120</v>
      </c>
      <c r="BQ29" s="25">
        <f t="shared" si="34"/>
        <v>9120</v>
      </c>
      <c r="BR29" s="25">
        <f t="shared" si="35"/>
        <v>9120</v>
      </c>
      <c r="BS29" s="25">
        <f t="shared" si="36"/>
        <v>9120</v>
      </c>
      <c r="BT29" s="25">
        <f t="shared" si="37"/>
        <v>9120</v>
      </c>
      <c r="BU29" s="25">
        <f t="shared" si="38"/>
        <v>9120</v>
      </c>
      <c r="BV29" s="25">
        <f t="shared" si="39"/>
        <v>9120</v>
      </c>
      <c r="BW29" s="25">
        <f t="shared" si="40"/>
        <v>9120</v>
      </c>
      <c r="BX29" s="25">
        <f t="shared" si="41"/>
        <v>9120</v>
      </c>
      <c r="BY29" s="25">
        <f t="shared" si="42"/>
        <v>109440</v>
      </c>
      <c r="BZ29" s="10"/>
      <c r="CA29" s="25">
        <f t="shared" si="43"/>
        <v>3283.2</v>
      </c>
      <c r="CB29" s="25">
        <f t="shared" si="44"/>
        <v>3283.2</v>
      </c>
      <c r="CC29" s="25">
        <f t="shared" si="45"/>
        <v>3283.2</v>
      </c>
      <c r="CD29" s="25">
        <f t="shared" si="46"/>
        <v>3283.2</v>
      </c>
      <c r="CE29" s="25">
        <f t="shared" si="47"/>
        <v>3283.2</v>
      </c>
      <c r="CF29" s="25">
        <f t="shared" si="48"/>
        <v>3283.2</v>
      </c>
      <c r="CG29" s="25">
        <f t="shared" si="49"/>
        <v>3283.2</v>
      </c>
      <c r="CH29" s="25">
        <f t="shared" si="50"/>
        <v>3283.2</v>
      </c>
      <c r="CI29" s="25">
        <f t="shared" si="51"/>
        <v>3283.2</v>
      </c>
      <c r="CJ29" s="25">
        <f t="shared" si="52"/>
        <v>3283.2</v>
      </c>
      <c r="CK29" s="25">
        <f t="shared" si="53"/>
        <v>3283.2</v>
      </c>
      <c r="CL29" s="25">
        <f t="shared" si="54"/>
        <v>3283.2</v>
      </c>
      <c r="CM29" s="25">
        <f t="shared" si="55"/>
        <v>39398.399999999994</v>
      </c>
      <c r="CN29" s="10"/>
      <c r="CO29" s="25"/>
      <c r="CP29" s="25"/>
      <c r="CQ29" s="25">
        <f t="shared" si="191"/>
        <v>3000</v>
      </c>
      <c r="CR29" s="25"/>
      <c r="CS29" s="25"/>
      <c r="CT29" s="25"/>
      <c r="CU29" s="25"/>
      <c r="CV29" s="25"/>
      <c r="CW29" s="25"/>
      <c r="CX29" s="25"/>
      <c r="CY29" s="25"/>
      <c r="CZ29" s="25"/>
      <c r="DA29" s="25">
        <f t="shared" si="58"/>
        <v>3000</v>
      </c>
      <c r="DB29" s="10"/>
      <c r="DC29" s="25">
        <v>333.33333333333331</v>
      </c>
      <c r="DD29" s="25">
        <v>333.33333333333331</v>
      </c>
      <c r="DE29" s="25">
        <v>333.33333333333331</v>
      </c>
      <c r="DF29" s="25">
        <v>333.33333333333331</v>
      </c>
      <c r="DG29" s="25">
        <v>333.33333333333331</v>
      </c>
      <c r="DH29" s="25">
        <v>333.33333333333331</v>
      </c>
      <c r="DI29" s="25">
        <v>333.33333333333331</v>
      </c>
      <c r="DJ29" s="25">
        <v>333.33333333333331</v>
      </c>
      <c r="DK29" s="25">
        <v>333.33333333333331</v>
      </c>
      <c r="DL29" s="25">
        <v>333.33333333333331</v>
      </c>
      <c r="DM29" s="25">
        <v>333.33333333333331</v>
      </c>
      <c r="DN29" s="25">
        <v>333.33333333333331</v>
      </c>
      <c r="DO29" s="25">
        <f t="shared" si="59"/>
        <v>4000.0000000000005</v>
      </c>
      <c r="DP29" s="10"/>
      <c r="DQ29" s="25">
        <f t="shared" si="60"/>
        <v>0</v>
      </c>
      <c r="DR29" s="25">
        <f t="shared" si="60"/>
        <v>0</v>
      </c>
      <c r="DS29" s="25">
        <f t="shared" si="60"/>
        <v>0</v>
      </c>
      <c r="DT29" s="25">
        <f t="shared" si="60"/>
        <v>0</v>
      </c>
      <c r="DU29" s="25">
        <f t="shared" si="60"/>
        <v>0</v>
      </c>
      <c r="DV29" s="25">
        <f t="shared" si="60"/>
        <v>0</v>
      </c>
      <c r="DW29" s="25">
        <f t="shared" si="60"/>
        <v>0</v>
      </c>
      <c r="DX29" s="25">
        <f t="shared" si="60"/>
        <v>0</v>
      </c>
      <c r="DY29" s="25">
        <f t="shared" si="60"/>
        <v>0</v>
      </c>
      <c r="DZ29" s="25">
        <f t="shared" si="60"/>
        <v>0</v>
      </c>
      <c r="EA29" s="25">
        <f t="shared" si="60"/>
        <v>0</v>
      </c>
      <c r="EB29" s="25">
        <f t="shared" si="60"/>
        <v>0</v>
      </c>
      <c r="EC29" s="25">
        <f t="shared" si="61"/>
        <v>0</v>
      </c>
      <c r="ED29" s="10"/>
      <c r="EE29" s="25">
        <f t="shared" si="62"/>
        <v>50093.2</v>
      </c>
      <c r="EF29" s="25">
        <f t="shared" si="63"/>
        <v>49983.199999999997</v>
      </c>
      <c r="EG29" s="25">
        <f t="shared" si="64"/>
        <v>50038.2</v>
      </c>
      <c r="EH29" s="25">
        <f t="shared" si="65"/>
        <v>49983.199999999997</v>
      </c>
      <c r="EI29" s="25">
        <f t="shared" si="66"/>
        <v>50038.2</v>
      </c>
      <c r="EJ29" s="25">
        <f t="shared" si="67"/>
        <v>50038.2</v>
      </c>
      <c r="EK29" s="25">
        <f t="shared" si="68"/>
        <v>49983.199999999997</v>
      </c>
      <c r="EL29" s="25">
        <f t="shared" si="69"/>
        <v>50148.2</v>
      </c>
      <c r="EM29" s="25">
        <f t="shared" si="70"/>
        <v>49928.2</v>
      </c>
      <c r="EN29" s="25">
        <f t="shared" si="71"/>
        <v>50148.2</v>
      </c>
      <c r="EO29" s="25">
        <f t="shared" si="72"/>
        <v>50093.2</v>
      </c>
      <c r="EP29" s="25">
        <f t="shared" si="73"/>
        <v>49873.2</v>
      </c>
      <c r="EQ29" s="25">
        <f t="shared" si="74"/>
        <v>600348.4</v>
      </c>
      <c r="ER29" s="364"/>
    </row>
    <row r="30" spans="1:148" s="364" customFormat="1" outlineLevel="1">
      <c r="F30" s="365"/>
      <c r="G30" s="386"/>
      <c r="H30" s="386"/>
      <c r="I30" s="387"/>
      <c r="J30" s="386"/>
      <c r="K30" s="386"/>
      <c r="L30" s="386"/>
      <c r="M30" s="388"/>
      <c r="N30" s="389"/>
      <c r="O30" s="389"/>
      <c r="P30" s="390"/>
      <c r="Q30" s="390"/>
      <c r="R30" s="390"/>
      <c r="S30" s="391"/>
      <c r="T30" s="392"/>
      <c r="U30" s="26"/>
      <c r="V30" s="393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0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10"/>
      <c r="AY30" s="394">
        <v>22</v>
      </c>
      <c r="AZ30" s="394">
        <v>20</v>
      </c>
      <c r="BA30" s="394">
        <v>21</v>
      </c>
      <c r="BB30" s="394">
        <v>20</v>
      </c>
      <c r="BC30" s="394">
        <v>21</v>
      </c>
      <c r="BD30" s="394">
        <v>21</v>
      </c>
      <c r="BE30" s="394">
        <v>20</v>
      </c>
      <c r="BF30" s="394">
        <v>23</v>
      </c>
      <c r="BG30" s="394">
        <v>19</v>
      </c>
      <c r="BH30" s="394">
        <v>23</v>
      </c>
      <c r="BI30" s="394">
        <v>22</v>
      </c>
      <c r="BJ30" s="394">
        <v>18</v>
      </c>
      <c r="BK30" s="394">
        <f t="shared" si="29"/>
        <v>250</v>
      </c>
      <c r="BL30" s="10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10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10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10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10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10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1:148" s="28" customFormat="1">
      <c r="A31" s="230">
        <f>SUM(A32:A44)</f>
        <v>14938703.800000001</v>
      </c>
      <c r="B31" s="230">
        <f>SUM(B32:B44)</f>
        <v>14381303.800000001</v>
      </c>
      <c r="C31" s="230">
        <f>SUM(C32:C44)</f>
        <v>153000</v>
      </c>
      <c r="D31" s="230">
        <f>SUM(D32:D44)</f>
        <v>104400</v>
      </c>
      <c r="E31" s="230">
        <f>SUM(E32:E44)</f>
        <v>300000</v>
      </c>
      <c r="F31" s="227" t="s">
        <v>216</v>
      </c>
      <c r="G31" s="27"/>
      <c r="H31" s="27"/>
      <c r="I31" s="253"/>
      <c r="J31" s="27"/>
      <c r="K31" s="27"/>
      <c r="L31" s="27"/>
      <c r="M31" s="360"/>
      <c r="N31" s="33"/>
      <c r="O31" s="33"/>
      <c r="P31" s="33"/>
      <c r="Q31" s="33"/>
      <c r="R31" s="33"/>
      <c r="S31" s="33"/>
      <c r="T31" s="33"/>
      <c r="V31" s="33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30">
        <f>SUM(EQ32:EQ44)</f>
        <v>14381303.800000001</v>
      </c>
    </row>
    <row r="32" spans="1:148" s="21" customFormat="1" outlineLevel="1">
      <c r="A32" s="21">
        <f t="shared" ref="A32:A43" si="469">SUM(B32:E32)</f>
        <v>820400</v>
      </c>
      <c r="B32" s="21">
        <f t="shared" ref="B32:B43" si="470">SUM(AI32,AW32,BK32,BY32,CM32)</f>
        <v>804000</v>
      </c>
      <c r="C32" s="21">
        <f t="shared" ref="C32:C43" si="471">DA32</f>
        <v>0</v>
      </c>
      <c r="D32" s="21">
        <f t="shared" ref="D32:D43" si="472">DO32</f>
        <v>16399.999999999996</v>
      </c>
      <c r="E32" s="21">
        <f t="shared" ref="E32:E43" si="473">EC32</f>
        <v>0</v>
      </c>
      <c r="F32" s="22">
        <v>1100</v>
      </c>
      <c r="G32" s="229" t="s">
        <v>149</v>
      </c>
      <c r="H32" s="23"/>
      <c r="I32" s="229"/>
      <c r="J32" s="23"/>
      <c r="K32" s="23"/>
      <c r="L32" s="23"/>
      <c r="M32" s="24"/>
      <c r="N32" s="25"/>
      <c r="O32" s="25"/>
      <c r="P32" s="126"/>
      <c r="Q32" s="126"/>
      <c r="R32" s="126"/>
      <c r="S32" s="129"/>
      <c r="T32" s="35"/>
      <c r="U32" s="25"/>
      <c r="V32" s="25"/>
      <c r="W32" s="25">
        <f t="shared" ref="W32:AH43" si="474">SUMIF($H$6:$H$29,$F32,W$6:W$29)</f>
        <v>50000</v>
      </c>
      <c r="X32" s="25">
        <f t="shared" si="474"/>
        <v>50000</v>
      </c>
      <c r="Y32" s="25">
        <f t="shared" si="474"/>
        <v>50000</v>
      </c>
      <c r="Z32" s="25">
        <f t="shared" si="474"/>
        <v>50000</v>
      </c>
      <c r="AA32" s="25">
        <f t="shared" si="474"/>
        <v>50000</v>
      </c>
      <c r="AB32" s="25">
        <f t="shared" si="474"/>
        <v>50000</v>
      </c>
      <c r="AC32" s="25">
        <f t="shared" si="474"/>
        <v>50000</v>
      </c>
      <c r="AD32" s="25">
        <f t="shared" si="474"/>
        <v>50000</v>
      </c>
      <c r="AE32" s="25">
        <f t="shared" si="474"/>
        <v>50000</v>
      </c>
      <c r="AF32" s="25">
        <f t="shared" si="474"/>
        <v>50000</v>
      </c>
      <c r="AG32" s="25">
        <f t="shared" si="474"/>
        <v>50000</v>
      </c>
      <c r="AH32" s="25">
        <f t="shared" si="474"/>
        <v>50000</v>
      </c>
      <c r="AI32" s="25">
        <f t="shared" ref="AI32" si="475">SUM(W32:AH32)</f>
        <v>600000</v>
      </c>
      <c r="AJ32" s="10"/>
      <c r="AK32" s="25">
        <f t="shared" ref="AK32:AV43" si="476">SUMIF($H$6:$H$29,$F32,AK$6:AK$29)</f>
        <v>0</v>
      </c>
      <c r="AL32" s="25">
        <f t="shared" si="476"/>
        <v>0</v>
      </c>
      <c r="AM32" s="25">
        <f t="shared" si="476"/>
        <v>0</v>
      </c>
      <c r="AN32" s="25">
        <f t="shared" si="476"/>
        <v>0</v>
      </c>
      <c r="AO32" s="25">
        <f t="shared" si="476"/>
        <v>0</v>
      </c>
      <c r="AP32" s="25">
        <f t="shared" si="476"/>
        <v>0</v>
      </c>
      <c r="AQ32" s="25">
        <f t="shared" si="476"/>
        <v>0</v>
      </c>
      <c r="AR32" s="25">
        <f t="shared" si="476"/>
        <v>0</v>
      </c>
      <c r="AS32" s="25">
        <f t="shared" si="476"/>
        <v>0</v>
      </c>
      <c r="AT32" s="25">
        <f t="shared" si="476"/>
        <v>0</v>
      </c>
      <c r="AU32" s="25">
        <f t="shared" si="476"/>
        <v>0</v>
      </c>
      <c r="AV32" s="25">
        <f t="shared" si="476"/>
        <v>0</v>
      </c>
      <c r="AW32" s="25">
        <f t="shared" ref="AW32" si="477">SUM(AK32:AV32)</f>
        <v>0</v>
      </c>
      <c r="AX32" s="10"/>
      <c r="AY32" s="25">
        <f t="shared" ref="AY32:BJ43" si="478">SUMIF($H$6:$H$29,$F32,AY$6:AY$29)</f>
        <v>0</v>
      </c>
      <c r="AZ32" s="25">
        <f t="shared" si="478"/>
        <v>0</v>
      </c>
      <c r="BA32" s="25">
        <f t="shared" si="478"/>
        <v>0</v>
      </c>
      <c r="BB32" s="25">
        <f t="shared" si="478"/>
        <v>0</v>
      </c>
      <c r="BC32" s="25">
        <f t="shared" si="478"/>
        <v>0</v>
      </c>
      <c r="BD32" s="25">
        <f t="shared" si="478"/>
        <v>0</v>
      </c>
      <c r="BE32" s="25">
        <f t="shared" si="478"/>
        <v>0</v>
      </c>
      <c r="BF32" s="25">
        <f t="shared" si="478"/>
        <v>0</v>
      </c>
      <c r="BG32" s="25">
        <f t="shared" si="478"/>
        <v>0</v>
      </c>
      <c r="BH32" s="25">
        <f t="shared" si="478"/>
        <v>0</v>
      </c>
      <c r="BI32" s="25">
        <f t="shared" si="478"/>
        <v>0</v>
      </c>
      <c r="BJ32" s="25">
        <f t="shared" si="478"/>
        <v>0</v>
      </c>
      <c r="BK32" s="25">
        <f t="shared" ref="BK32" si="479">SUM(AY32:BJ32)</f>
        <v>0</v>
      </c>
      <c r="BL32" s="10"/>
      <c r="BM32" s="25">
        <f t="shared" ref="BM32:BX43" si="480">SUMIF($H$6:$H$29,$F32,BM$6:BM$29)</f>
        <v>12500</v>
      </c>
      <c r="BN32" s="25">
        <f t="shared" si="480"/>
        <v>12500</v>
      </c>
      <c r="BO32" s="25">
        <f t="shared" si="480"/>
        <v>12500</v>
      </c>
      <c r="BP32" s="25">
        <f t="shared" si="480"/>
        <v>12500</v>
      </c>
      <c r="BQ32" s="25">
        <f t="shared" si="480"/>
        <v>12500</v>
      </c>
      <c r="BR32" s="25">
        <f t="shared" si="480"/>
        <v>12500</v>
      </c>
      <c r="BS32" s="25">
        <f t="shared" si="480"/>
        <v>12500</v>
      </c>
      <c r="BT32" s="25">
        <f t="shared" si="480"/>
        <v>12500</v>
      </c>
      <c r="BU32" s="25">
        <f t="shared" si="480"/>
        <v>12500</v>
      </c>
      <c r="BV32" s="25">
        <f t="shared" si="480"/>
        <v>12500</v>
      </c>
      <c r="BW32" s="25">
        <f t="shared" si="480"/>
        <v>12500</v>
      </c>
      <c r="BX32" s="25">
        <f t="shared" si="480"/>
        <v>12500</v>
      </c>
      <c r="BY32" s="25">
        <f t="shared" ref="BY32" si="481">SUM(BM32:BX32)</f>
        <v>150000</v>
      </c>
      <c r="BZ32" s="10"/>
      <c r="CA32" s="25">
        <f t="shared" ref="CA32:CL43" si="482">SUMIF($H$6:$H$29,$F32,CA$6:CA$29)</f>
        <v>4500</v>
      </c>
      <c r="CB32" s="25">
        <f t="shared" si="482"/>
        <v>4500</v>
      </c>
      <c r="CC32" s="25">
        <f t="shared" si="482"/>
        <v>4500</v>
      </c>
      <c r="CD32" s="25">
        <f t="shared" si="482"/>
        <v>4500</v>
      </c>
      <c r="CE32" s="25">
        <f t="shared" si="482"/>
        <v>4500</v>
      </c>
      <c r="CF32" s="25">
        <f t="shared" si="482"/>
        <v>4500</v>
      </c>
      <c r="CG32" s="25">
        <f t="shared" si="482"/>
        <v>4500</v>
      </c>
      <c r="CH32" s="25">
        <f t="shared" si="482"/>
        <v>4500</v>
      </c>
      <c r="CI32" s="25">
        <f t="shared" si="482"/>
        <v>4500</v>
      </c>
      <c r="CJ32" s="25">
        <f t="shared" si="482"/>
        <v>4500</v>
      </c>
      <c r="CK32" s="25">
        <f t="shared" si="482"/>
        <v>4500</v>
      </c>
      <c r="CL32" s="25">
        <f t="shared" si="482"/>
        <v>4500</v>
      </c>
      <c r="CM32" s="25">
        <f t="shared" ref="CM32" si="483">SUM(CA32:CL32)</f>
        <v>54000</v>
      </c>
      <c r="CN32" s="10"/>
      <c r="CO32" s="25">
        <f t="shared" ref="CO32:CZ43" si="484">SUMIF($H$6:$H$29,$F32,CO$6:CO$29)</f>
        <v>0</v>
      </c>
      <c r="CP32" s="25">
        <f t="shared" si="484"/>
        <v>0</v>
      </c>
      <c r="CQ32" s="25">
        <f t="shared" si="484"/>
        <v>0</v>
      </c>
      <c r="CR32" s="25">
        <f t="shared" si="484"/>
        <v>0</v>
      </c>
      <c r="CS32" s="25">
        <f t="shared" si="484"/>
        <v>0</v>
      </c>
      <c r="CT32" s="25">
        <f t="shared" si="484"/>
        <v>0</v>
      </c>
      <c r="CU32" s="25">
        <f t="shared" si="484"/>
        <v>0</v>
      </c>
      <c r="CV32" s="25">
        <f t="shared" si="484"/>
        <v>0</v>
      </c>
      <c r="CW32" s="25">
        <f t="shared" si="484"/>
        <v>0</v>
      </c>
      <c r="CX32" s="25">
        <f t="shared" si="484"/>
        <v>0</v>
      </c>
      <c r="CY32" s="25">
        <f t="shared" si="484"/>
        <v>0</v>
      </c>
      <c r="CZ32" s="25">
        <f t="shared" si="484"/>
        <v>0</v>
      </c>
      <c r="DA32" s="25">
        <f t="shared" ref="DA32" si="485">SUM(CO32:CZ32)</f>
        <v>0</v>
      </c>
      <c r="DB32" s="10"/>
      <c r="DC32" s="25">
        <f t="shared" ref="DC32:DN43" si="486">SUMIF($H$6:$H$29,$F32,DC$6:DC$29)</f>
        <v>1366.6666666666667</v>
      </c>
      <c r="DD32" s="25">
        <f t="shared" si="486"/>
        <v>1366.6666666666667</v>
      </c>
      <c r="DE32" s="25">
        <f t="shared" si="486"/>
        <v>1366.6666666666667</v>
      </c>
      <c r="DF32" s="25">
        <f t="shared" si="486"/>
        <v>1366.6666666666667</v>
      </c>
      <c r="DG32" s="25">
        <f t="shared" si="486"/>
        <v>1366.6666666666667</v>
      </c>
      <c r="DH32" s="25">
        <f t="shared" si="486"/>
        <v>1366.6666666666667</v>
      </c>
      <c r="DI32" s="25">
        <f t="shared" si="486"/>
        <v>1366.6666666666667</v>
      </c>
      <c r="DJ32" s="25">
        <f t="shared" si="486"/>
        <v>1366.6666666666667</v>
      </c>
      <c r="DK32" s="25">
        <f t="shared" si="486"/>
        <v>1366.6666666666667</v>
      </c>
      <c r="DL32" s="25">
        <f t="shared" si="486"/>
        <v>1366.6666666666667</v>
      </c>
      <c r="DM32" s="25">
        <f t="shared" si="486"/>
        <v>1366.6666666666667</v>
      </c>
      <c r="DN32" s="25">
        <f t="shared" si="486"/>
        <v>1366.6666666666667</v>
      </c>
      <c r="DO32" s="25">
        <f t="shared" ref="DO32" si="487">SUM(DC32:DN32)</f>
        <v>16399.999999999996</v>
      </c>
      <c r="DP32" s="10"/>
      <c r="DQ32" s="25">
        <f t="shared" ref="DQ32:EB43" si="488">SUMIF($H$6:$H$29,$F32,DQ$6:DQ$29)</f>
        <v>0</v>
      </c>
      <c r="DR32" s="25">
        <f t="shared" si="488"/>
        <v>0</v>
      </c>
      <c r="DS32" s="25">
        <f t="shared" si="488"/>
        <v>0</v>
      </c>
      <c r="DT32" s="25">
        <f t="shared" si="488"/>
        <v>0</v>
      </c>
      <c r="DU32" s="25">
        <f t="shared" si="488"/>
        <v>0</v>
      </c>
      <c r="DV32" s="25">
        <f t="shared" si="488"/>
        <v>0</v>
      </c>
      <c r="DW32" s="25">
        <f t="shared" si="488"/>
        <v>0</v>
      </c>
      <c r="DX32" s="25">
        <f t="shared" si="488"/>
        <v>0</v>
      </c>
      <c r="DY32" s="25">
        <f t="shared" si="488"/>
        <v>0</v>
      </c>
      <c r="DZ32" s="25">
        <f t="shared" si="488"/>
        <v>0</v>
      </c>
      <c r="EA32" s="25">
        <f t="shared" si="488"/>
        <v>0</v>
      </c>
      <c r="EB32" s="25">
        <f t="shared" si="488"/>
        <v>0</v>
      </c>
      <c r="EC32" s="25">
        <f t="shared" ref="EC32" si="489">SUM(DQ32:EB32)</f>
        <v>0</v>
      </c>
      <c r="ED32" s="10"/>
      <c r="EE32" s="25">
        <f t="shared" ref="EE32:EP43" si="490">SUMIF($H$6:$H$29,$F32,EE$6:EE$29)</f>
        <v>67000</v>
      </c>
      <c r="EF32" s="25">
        <f t="shared" si="490"/>
        <v>67000</v>
      </c>
      <c r="EG32" s="25">
        <f t="shared" si="490"/>
        <v>67000</v>
      </c>
      <c r="EH32" s="25">
        <f t="shared" si="490"/>
        <v>67000</v>
      </c>
      <c r="EI32" s="25">
        <f t="shared" si="490"/>
        <v>67000</v>
      </c>
      <c r="EJ32" s="25">
        <f t="shared" si="490"/>
        <v>67000</v>
      </c>
      <c r="EK32" s="25">
        <f t="shared" si="490"/>
        <v>67000</v>
      </c>
      <c r="EL32" s="25">
        <f t="shared" si="490"/>
        <v>67000</v>
      </c>
      <c r="EM32" s="25">
        <f t="shared" si="490"/>
        <v>67000</v>
      </c>
      <c r="EN32" s="25">
        <f t="shared" si="490"/>
        <v>67000</v>
      </c>
      <c r="EO32" s="25">
        <f t="shared" si="490"/>
        <v>67000</v>
      </c>
      <c r="EP32" s="25">
        <f t="shared" si="490"/>
        <v>67000</v>
      </c>
      <c r="EQ32" s="25">
        <f t="shared" ref="EQ32" si="491">SUM(EE32:EP32)</f>
        <v>804000</v>
      </c>
      <c r="ER32" s="10"/>
    </row>
    <row r="33" spans="1:149" s="21" customFormat="1" ht="18.95" customHeight="1" outlineLevel="1">
      <c r="A33" s="21">
        <f t="shared" si="469"/>
        <v>0</v>
      </c>
      <c r="B33" s="21">
        <f t="shared" si="470"/>
        <v>0</v>
      </c>
      <c r="C33" s="21">
        <f t="shared" si="471"/>
        <v>0</v>
      </c>
      <c r="D33" s="21">
        <f t="shared" si="472"/>
        <v>0</v>
      </c>
      <c r="E33" s="21">
        <f t="shared" si="473"/>
        <v>0</v>
      </c>
      <c r="F33" s="22">
        <v>1200</v>
      </c>
      <c r="G33" s="229" t="s">
        <v>75</v>
      </c>
      <c r="H33" s="23"/>
      <c r="I33" s="229"/>
      <c r="J33" s="23"/>
      <c r="K33" s="23"/>
      <c r="L33" s="23"/>
      <c r="M33" s="24"/>
      <c r="N33" s="25"/>
      <c r="O33" s="25"/>
      <c r="P33" s="126"/>
      <c r="Q33" s="126"/>
      <c r="R33" s="126"/>
      <c r="S33" s="129"/>
      <c r="T33" s="35"/>
      <c r="U33" s="25"/>
      <c r="V33" s="25"/>
      <c r="W33" s="25">
        <f t="shared" si="474"/>
        <v>0</v>
      </c>
      <c r="X33" s="25">
        <f t="shared" si="474"/>
        <v>0</v>
      </c>
      <c r="Y33" s="25">
        <f t="shared" si="474"/>
        <v>0</v>
      </c>
      <c r="Z33" s="25">
        <f t="shared" si="474"/>
        <v>0</v>
      </c>
      <c r="AA33" s="25">
        <f t="shared" si="474"/>
        <v>0</v>
      </c>
      <c r="AB33" s="25">
        <f t="shared" si="474"/>
        <v>0</v>
      </c>
      <c r="AC33" s="25">
        <f t="shared" si="474"/>
        <v>0</v>
      </c>
      <c r="AD33" s="25">
        <f t="shared" si="474"/>
        <v>0</v>
      </c>
      <c r="AE33" s="25">
        <f t="shared" si="474"/>
        <v>0</v>
      </c>
      <c r="AF33" s="25">
        <f t="shared" si="474"/>
        <v>0</v>
      </c>
      <c r="AG33" s="25">
        <f t="shared" si="474"/>
        <v>0</v>
      </c>
      <c r="AH33" s="25">
        <f t="shared" si="474"/>
        <v>0</v>
      </c>
      <c r="AI33" s="25">
        <f t="shared" ref="AI33:AI43" si="492">SUM(W33:AH33)</f>
        <v>0</v>
      </c>
      <c r="AJ33" s="10"/>
      <c r="AK33" s="25">
        <f t="shared" si="476"/>
        <v>0</v>
      </c>
      <c r="AL33" s="25">
        <f t="shared" si="476"/>
        <v>0</v>
      </c>
      <c r="AM33" s="25">
        <f t="shared" si="476"/>
        <v>0</v>
      </c>
      <c r="AN33" s="25">
        <f t="shared" si="476"/>
        <v>0</v>
      </c>
      <c r="AO33" s="25">
        <f t="shared" si="476"/>
        <v>0</v>
      </c>
      <c r="AP33" s="25">
        <f t="shared" si="476"/>
        <v>0</v>
      </c>
      <c r="AQ33" s="25">
        <f t="shared" si="476"/>
        <v>0</v>
      </c>
      <c r="AR33" s="25">
        <f t="shared" si="476"/>
        <v>0</v>
      </c>
      <c r="AS33" s="25">
        <f t="shared" si="476"/>
        <v>0</v>
      </c>
      <c r="AT33" s="25">
        <f t="shared" si="476"/>
        <v>0</v>
      </c>
      <c r="AU33" s="25">
        <f t="shared" si="476"/>
        <v>0</v>
      </c>
      <c r="AV33" s="25">
        <f t="shared" si="476"/>
        <v>0</v>
      </c>
      <c r="AW33" s="25">
        <f t="shared" ref="AW33:AW43" si="493">SUM(AK33:AV33)</f>
        <v>0</v>
      </c>
      <c r="AX33" s="10"/>
      <c r="AY33" s="25">
        <f t="shared" si="478"/>
        <v>0</v>
      </c>
      <c r="AZ33" s="25">
        <f t="shared" si="478"/>
        <v>0</v>
      </c>
      <c r="BA33" s="25">
        <f t="shared" si="478"/>
        <v>0</v>
      </c>
      <c r="BB33" s="25">
        <f t="shared" si="478"/>
        <v>0</v>
      </c>
      <c r="BC33" s="25">
        <f t="shared" si="478"/>
        <v>0</v>
      </c>
      <c r="BD33" s="25">
        <f t="shared" si="478"/>
        <v>0</v>
      </c>
      <c r="BE33" s="25">
        <f t="shared" si="478"/>
        <v>0</v>
      </c>
      <c r="BF33" s="25">
        <f t="shared" si="478"/>
        <v>0</v>
      </c>
      <c r="BG33" s="25">
        <f t="shared" si="478"/>
        <v>0</v>
      </c>
      <c r="BH33" s="25">
        <f t="shared" si="478"/>
        <v>0</v>
      </c>
      <c r="BI33" s="25">
        <f t="shared" si="478"/>
        <v>0</v>
      </c>
      <c r="BJ33" s="25">
        <f t="shared" si="478"/>
        <v>0</v>
      </c>
      <c r="BK33" s="25">
        <f t="shared" ref="BK33:BK43" si="494">SUM(AY33:BJ33)</f>
        <v>0</v>
      </c>
      <c r="BL33" s="10"/>
      <c r="BM33" s="25">
        <f t="shared" si="480"/>
        <v>0</v>
      </c>
      <c r="BN33" s="25">
        <f t="shared" si="480"/>
        <v>0</v>
      </c>
      <c r="BO33" s="25">
        <f t="shared" si="480"/>
        <v>0</v>
      </c>
      <c r="BP33" s="25">
        <f t="shared" si="480"/>
        <v>0</v>
      </c>
      <c r="BQ33" s="25">
        <f t="shared" si="480"/>
        <v>0</v>
      </c>
      <c r="BR33" s="25">
        <f t="shared" si="480"/>
        <v>0</v>
      </c>
      <c r="BS33" s="25">
        <f t="shared" si="480"/>
        <v>0</v>
      </c>
      <c r="BT33" s="25">
        <f t="shared" si="480"/>
        <v>0</v>
      </c>
      <c r="BU33" s="25">
        <f t="shared" si="480"/>
        <v>0</v>
      </c>
      <c r="BV33" s="25">
        <f t="shared" si="480"/>
        <v>0</v>
      </c>
      <c r="BW33" s="25">
        <f t="shared" si="480"/>
        <v>0</v>
      </c>
      <c r="BX33" s="25">
        <f t="shared" si="480"/>
        <v>0</v>
      </c>
      <c r="BY33" s="25">
        <f t="shared" ref="BY33:BY43" si="495">SUM(BM33:BX33)</f>
        <v>0</v>
      </c>
      <c r="BZ33" s="10"/>
      <c r="CA33" s="25">
        <f t="shared" si="482"/>
        <v>0</v>
      </c>
      <c r="CB33" s="25">
        <f t="shared" si="482"/>
        <v>0</v>
      </c>
      <c r="CC33" s="25">
        <f t="shared" si="482"/>
        <v>0</v>
      </c>
      <c r="CD33" s="25">
        <f t="shared" si="482"/>
        <v>0</v>
      </c>
      <c r="CE33" s="25">
        <f t="shared" si="482"/>
        <v>0</v>
      </c>
      <c r="CF33" s="25">
        <f t="shared" si="482"/>
        <v>0</v>
      </c>
      <c r="CG33" s="25">
        <f t="shared" si="482"/>
        <v>0</v>
      </c>
      <c r="CH33" s="25">
        <f t="shared" si="482"/>
        <v>0</v>
      </c>
      <c r="CI33" s="25">
        <f t="shared" si="482"/>
        <v>0</v>
      </c>
      <c r="CJ33" s="25">
        <f t="shared" si="482"/>
        <v>0</v>
      </c>
      <c r="CK33" s="25">
        <f t="shared" si="482"/>
        <v>0</v>
      </c>
      <c r="CL33" s="25">
        <f t="shared" si="482"/>
        <v>0</v>
      </c>
      <c r="CM33" s="25">
        <f t="shared" ref="CM33:CM43" si="496">SUM(CA33:CL33)</f>
        <v>0</v>
      </c>
      <c r="CN33" s="10"/>
      <c r="CO33" s="25">
        <f t="shared" si="484"/>
        <v>0</v>
      </c>
      <c r="CP33" s="25">
        <f t="shared" si="484"/>
        <v>0</v>
      </c>
      <c r="CQ33" s="25">
        <f t="shared" si="484"/>
        <v>0</v>
      </c>
      <c r="CR33" s="25">
        <f t="shared" si="484"/>
        <v>0</v>
      </c>
      <c r="CS33" s="25">
        <f t="shared" si="484"/>
        <v>0</v>
      </c>
      <c r="CT33" s="25">
        <f t="shared" si="484"/>
        <v>0</v>
      </c>
      <c r="CU33" s="25">
        <f t="shared" si="484"/>
        <v>0</v>
      </c>
      <c r="CV33" s="25">
        <f t="shared" si="484"/>
        <v>0</v>
      </c>
      <c r="CW33" s="25">
        <f t="shared" si="484"/>
        <v>0</v>
      </c>
      <c r="CX33" s="25">
        <f t="shared" si="484"/>
        <v>0</v>
      </c>
      <c r="CY33" s="25">
        <f t="shared" si="484"/>
        <v>0</v>
      </c>
      <c r="CZ33" s="25">
        <f t="shared" si="484"/>
        <v>0</v>
      </c>
      <c r="DA33" s="25">
        <f t="shared" ref="DA33:DA43" si="497">SUM(CO33:CZ33)</f>
        <v>0</v>
      </c>
      <c r="DB33" s="10"/>
      <c r="DC33" s="25">
        <f t="shared" si="486"/>
        <v>0</v>
      </c>
      <c r="DD33" s="25">
        <f t="shared" si="486"/>
        <v>0</v>
      </c>
      <c r="DE33" s="25">
        <f t="shared" si="486"/>
        <v>0</v>
      </c>
      <c r="DF33" s="25">
        <f t="shared" si="486"/>
        <v>0</v>
      </c>
      <c r="DG33" s="25">
        <f t="shared" si="486"/>
        <v>0</v>
      </c>
      <c r="DH33" s="25">
        <f t="shared" si="486"/>
        <v>0</v>
      </c>
      <c r="DI33" s="25">
        <f t="shared" si="486"/>
        <v>0</v>
      </c>
      <c r="DJ33" s="25">
        <f t="shared" si="486"/>
        <v>0</v>
      </c>
      <c r="DK33" s="25">
        <f t="shared" si="486"/>
        <v>0</v>
      </c>
      <c r="DL33" s="25">
        <f t="shared" si="486"/>
        <v>0</v>
      </c>
      <c r="DM33" s="25">
        <f t="shared" si="486"/>
        <v>0</v>
      </c>
      <c r="DN33" s="25">
        <f t="shared" si="486"/>
        <v>0</v>
      </c>
      <c r="DO33" s="25">
        <f t="shared" ref="DO33:DO43" si="498">SUM(DC33:DN33)</f>
        <v>0</v>
      </c>
      <c r="DP33" s="10"/>
      <c r="DQ33" s="25">
        <f t="shared" si="488"/>
        <v>0</v>
      </c>
      <c r="DR33" s="25">
        <f t="shared" si="488"/>
        <v>0</v>
      </c>
      <c r="DS33" s="25">
        <f t="shared" si="488"/>
        <v>0</v>
      </c>
      <c r="DT33" s="25">
        <f t="shared" si="488"/>
        <v>0</v>
      </c>
      <c r="DU33" s="25">
        <f t="shared" si="488"/>
        <v>0</v>
      </c>
      <c r="DV33" s="25">
        <f t="shared" si="488"/>
        <v>0</v>
      </c>
      <c r="DW33" s="25">
        <f t="shared" si="488"/>
        <v>0</v>
      </c>
      <c r="DX33" s="25">
        <f t="shared" si="488"/>
        <v>0</v>
      </c>
      <c r="DY33" s="25">
        <f t="shared" si="488"/>
        <v>0</v>
      </c>
      <c r="DZ33" s="25">
        <f t="shared" si="488"/>
        <v>0</v>
      </c>
      <c r="EA33" s="25">
        <f t="shared" si="488"/>
        <v>0</v>
      </c>
      <c r="EB33" s="25">
        <f t="shared" si="488"/>
        <v>0</v>
      </c>
      <c r="EC33" s="25">
        <f t="shared" ref="EC33:EC43" si="499">SUM(DQ33:EB33)</f>
        <v>0</v>
      </c>
      <c r="ED33" s="10"/>
      <c r="EE33" s="25">
        <f t="shared" si="490"/>
        <v>0</v>
      </c>
      <c r="EF33" s="25">
        <f t="shared" si="490"/>
        <v>0</v>
      </c>
      <c r="EG33" s="25">
        <f t="shared" si="490"/>
        <v>0</v>
      </c>
      <c r="EH33" s="25">
        <f t="shared" si="490"/>
        <v>0</v>
      </c>
      <c r="EI33" s="25">
        <f t="shared" si="490"/>
        <v>0</v>
      </c>
      <c r="EJ33" s="25">
        <f t="shared" si="490"/>
        <v>0</v>
      </c>
      <c r="EK33" s="25">
        <f t="shared" si="490"/>
        <v>0</v>
      </c>
      <c r="EL33" s="25">
        <f t="shared" si="490"/>
        <v>0</v>
      </c>
      <c r="EM33" s="25">
        <f t="shared" si="490"/>
        <v>0</v>
      </c>
      <c r="EN33" s="25">
        <f t="shared" si="490"/>
        <v>0</v>
      </c>
      <c r="EO33" s="25">
        <f t="shared" si="490"/>
        <v>0</v>
      </c>
      <c r="EP33" s="25">
        <f t="shared" si="490"/>
        <v>0</v>
      </c>
      <c r="EQ33" s="25">
        <f t="shared" ref="EQ33:EQ43" si="500">SUM(EE33:EP33)</f>
        <v>0</v>
      </c>
      <c r="ER33" s="10"/>
    </row>
    <row r="34" spans="1:149" s="21" customFormat="1" ht="18.95" customHeight="1" outlineLevel="1">
      <c r="A34" s="21">
        <f t="shared" si="469"/>
        <v>0</v>
      </c>
      <c r="B34" s="21">
        <f t="shared" si="470"/>
        <v>0</v>
      </c>
      <c r="C34" s="21">
        <f t="shared" si="471"/>
        <v>0</v>
      </c>
      <c r="D34" s="21">
        <f t="shared" si="472"/>
        <v>0</v>
      </c>
      <c r="E34" s="21">
        <f t="shared" si="473"/>
        <v>0</v>
      </c>
      <c r="F34" s="22">
        <v>2200</v>
      </c>
      <c r="G34" s="229" t="s">
        <v>457</v>
      </c>
      <c r="H34" s="23"/>
      <c r="I34" s="229"/>
      <c r="J34" s="23"/>
      <c r="K34" s="23"/>
      <c r="L34" s="23"/>
      <c r="M34" s="24"/>
      <c r="N34" s="25"/>
      <c r="O34" s="25"/>
      <c r="P34" s="126"/>
      <c r="Q34" s="126"/>
      <c r="R34" s="126"/>
      <c r="S34" s="129"/>
      <c r="T34" s="35"/>
      <c r="U34" s="25"/>
      <c r="V34" s="25"/>
      <c r="W34" s="25">
        <f t="shared" si="474"/>
        <v>0</v>
      </c>
      <c r="X34" s="25">
        <f t="shared" si="474"/>
        <v>0</v>
      </c>
      <c r="Y34" s="25">
        <f t="shared" si="474"/>
        <v>0</v>
      </c>
      <c r="Z34" s="25">
        <f t="shared" si="474"/>
        <v>0</v>
      </c>
      <c r="AA34" s="25">
        <f t="shared" si="474"/>
        <v>0</v>
      </c>
      <c r="AB34" s="25">
        <f t="shared" si="474"/>
        <v>0</v>
      </c>
      <c r="AC34" s="25">
        <f t="shared" si="474"/>
        <v>0</v>
      </c>
      <c r="AD34" s="25">
        <f t="shared" si="474"/>
        <v>0</v>
      </c>
      <c r="AE34" s="25">
        <f t="shared" si="474"/>
        <v>0</v>
      </c>
      <c r="AF34" s="25">
        <f t="shared" si="474"/>
        <v>0</v>
      </c>
      <c r="AG34" s="25">
        <f t="shared" si="474"/>
        <v>0</v>
      </c>
      <c r="AH34" s="25">
        <f t="shared" si="474"/>
        <v>0</v>
      </c>
      <c r="AI34" s="25">
        <f t="shared" si="492"/>
        <v>0</v>
      </c>
      <c r="AJ34" s="10"/>
      <c r="AK34" s="25">
        <f t="shared" si="476"/>
        <v>0</v>
      </c>
      <c r="AL34" s="25">
        <f t="shared" si="476"/>
        <v>0</v>
      </c>
      <c r="AM34" s="25">
        <f t="shared" si="476"/>
        <v>0</v>
      </c>
      <c r="AN34" s="25">
        <f t="shared" si="476"/>
        <v>0</v>
      </c>
      <c r="AO34" s="25">
        <f t="shared" si="476"/>
        <v>0</v>
      </c>
      <c r="AP34" s="25">
        <f t="shared" si="476"/>
        <v>0</v>
      </c>
      <c r="AQ34" s="25">
        <f t="shared" si="476"/>
        <v>0</v>
      </c>
      <c r="AR34" s="25">
        <f t="shared" si="476"/>
        <v>0</v>
      </c>
      <c r="AS34" s="25">
        <f t="shared" si="476"/>
        <v>0</v>
      </c>
      <c r="AT34" s="25">
        <f t="shared" si="476"/>
        <v>0</v>
      </c>
      <c r="AU34" s="25">
        <f t="shared" si="476"/>
        <v>0</v>
      </c>
      <c r="AV34" s="25">
        <f t="shared" si="476"/>
        <v>0</v>
      </c>
      <c r="AW34" s="25">
        <f t="shared" si="493"/>
        <v>0</v>
      </c>
      <c r="AX34" s="10"/>
      <c r="AY34" s="25">
        <f t="shared" si="478"/>
        <v>0</v>
      </c>
      <c r="AZ34" s="25">
        <f t="shared" si="478"/>
        <v>0</v>
      </c>
      <c r="BA34" s="25">
        <f t="shared" si="478"/>
        <v>0</v>
      </c>
      <c r="BB34" s="25">
        <f t="shared" si="478"/>
        <v>0</v>
      </c>
      <c r="BC34" s="25">
        <f t="shared" si="478"/>
        <v>0</v>
      </c>
      <c r="BD34" s="25">
        <f t="shared" si="478"/>
        <v>0</v>
      </c>
      <c r="BE34" s="25">
        <f t="shared" si="478"/>
        <v>0</v>
      </c>
      <c r="BF34" s="25">
        <f t="shared" si="478"/>
        <v>0</v>
      </c>
      <c r="BG34" s="25">
        <f t="shared" si="478"/>
        <v>0</v>
      </c>
      <c r="BH34" s="25">
        <f t="shared" si="478"/>
        <v>0</v>
      </c>
      <c r="BI34" s="25">
        <f t="shared" si="478"/>
        <v>0</v>
      </c>
      <c r="BJ34" s="25">
        <f t="shared" si="478"/>
        <v>0</v>
      </c>
      <c r="BK34" s="25">
        <f t="shared" si="494"/>
        <v>0</v>
      </c>
      <c r="BL34" s="10"/>
      <c r="BM34" s="25">
        <f t="shared" si="480"/>
        <v>0</v>
      </c>
      <c r="BN34" s="25">
        <f t="shared" si="480"/>
        <v>0</v>
      </c>
      <c r="BO34" s="25">
        <f t="shared" si="480"/>
        <v>0</v>
      </c>
      <c r="BP34" s="25">
        <f t="shared" si="480"/>
        <v>0</v>
      </c>
      <c r="BQ34" s="25">
        <f t="shared" si="480"/>
        <v>0</v>
      </c>
      <c r="BR34" s="25">
        <f t="shared" si="480"/>
        <v>0</v>
      </c>
      <c r="BS34" s="25">
        <f t="shared" si="480"/>
        <v>0</v>
      </c>
      <c r="BT34" s="25">
        <f t="shared" si="480"/>
        <v>0</v>
      </c>
      <c r="BU34" s="25">
        <f t="shared" si="480"/>
        <v>0</v>
      </c>
      <c r="BV34" s="25">
        <f t="shared" si="480"/>
        <v>0</v>
      </c>
      <c r="BW34" s="25">
        <f t="shared" si="480"/>
        <v>0</v>
      </c>
      <c r="BX34" s="25">
        <f t="shared" si="480"/>
        <v>0</v>
      </c>
      <c r="BY34" s="25">
        <f t="shared" si="495"/>
        <v>0</v>
      </c>
      <c r="BZ34" s="10"/>
      <c r="CA34" s="25">
        <f t="shared" si="482"/>
        <v>0</v>
      </c>
      <c r="CB34" s="25">
        <f t="shared" si="482"/>
        <v>0</v>
      </c>
      <c r="CC34" s="25">
        <f t="shared" si="482"/>
        <v>0</v>
      </c>
      <c r="CD34" s="25">
        <f t="shared" si="482"/>
        <v>0</v>
      </c>
      <c r="CE34" s="25">
        <f t="shared" si="482"/>
        <v>0</v>
      </c>
      <c r="CF34" s="25">
        <f t="shared" si="482"/>
        <v>0</v>
      </c>
      <c r="CG34" s="25">
        <f t="shared" si="482"/>
        <v>0</v>
      </c>
      <c r="CH34" s="25">
        <f t="shared" si="482"/>
        <v>0</v>
      </c>
      <c r="CI34" s="25">
        <f t="shared" si="482"/>
        <v>0</v>
      </c>
      <c r="CJ34" s="25">
        <f t="shared" si="482"/>
        <v>0</v>
      </c>
      <c r="CK34" s="25">
        <f t="shared" si="482"/>
        <v>0</v>
      </c>
      <c r="CL34" s="25">
        <f t="shared" si="482"/>
        <v>0</v>
      </c>
      <c r="CM34" s="25">
        <f t="shared" si="496"/>
        <v>0</v>
      </c>
      <c r="CN34" s="10"/>
      <c r="CO34" s="25">
        <f t="shared" si="484"/>
        <v>0</v>
      </c>
      <c r="CP34" s="25">
        <f t="shared" si="484"/>
        <v>0</v>
      </c>
      <c r="CQ34" s="25">
        <f t="shared" si="484"/>
        <v>0</v>
      </c>
      <c r="CR34" s="25">
        <f t="shared" si="484"/>
        <v>0</v>
      </c>
      <c r="CS34" s="25">
        <f t="shared" si="484"/>
        <v>0</v>
      </c>
      <c r="CT34" s="25">
        <f t="shared" si="484"/>
        <v>0</v>
      </c>
      <c r="CU34" s="25">
        <f t="shared" si="484"/>
        <v>0</v>
      </c>
      <c r="CV34" s="25">
        <f t="shared" si="484"/>
        <v>0</v>
      </c>
      <c r="CW34" s="25">
        <f t="shared" si="484"/>
        <v>0</v>
      </c>
      <c r="CX34" s="25">
        <f t="shared" si="484"/>
        <v>0</v>
      </c>
      <c r="CY34" s="25">
        <f t="shared" si="484"/>
        <v>0</v>
      </c>
      <c r="CZ34" s="25">
        <f t="shared" si="484"/>
        <v>0</v>
      </c>
      <c r="DA34" s="25">
        <f t="shared" si="497"/>
        <v>0</v>
      </c>
      <c r="DB34" s="10"/>
      <c r="DC34" s="25">
        <f t="shared" si="486"/>
        <v>0</v>
      </c>
      <c r="DD34" s="25">
        <f t="shared" si="486"/>
        <v>0</v>
      </c>
      <c r="DE34" s="25">
        <f t="shared" si="486"/>
        <v>0</v>
      </c>
      <c r="DF34" s="25">
        <f t="shared" si="486"/>
        <v>0</v>
      </c>
      <c r="DG34" s="25">
        <f t="shared" si="486"/>
        <v>0</v>
      </c>
      <c r="DH34" s="25">
        <f t="shared" si="486"/>
        <v>0</v>
      </c>
      <c r="DI34" s="25">
        <f t="shared" si="486"/>
        <v>0</v>
      </c>
      <c r="DJ34" s="25">
        <f t="shared" si="486"/>
        <v>0</v>
      </c>
      <c r="DK34" s="25">
        <f t="shared" si="486"/>
        <v>0</v>
      </c>
      <c r="DL34" s="25">
        <f t="shared" si="486"/>
        <v>0</v>
      </c>
      <c r="DM34" s="25">
        <f t="shared" si="486"/>
        <v>0</v>
      </c>
      <c r="DN34" s="25">
        <f t="shared" si="486"/>
        <v>0</v>
      </c>
      <c r="DO34" s="25">
        <f t="shared" si="498"/>
        <v>0</v>
      </c>
      <c r="DP34" s="10"/>
      <c r="DQ34" s="25">
        <f t="shared" si="488"/>
        <v>0</v>
      </c>
      <c r="DR34" s="25">
        <f t="shared" si="488"/>
        <v>0</v>
      </c>
      <c r="DS34" s="25">
        <f t="shared" si="488"/>
        <v>0</v>
      </c>
      <c r="DT34" s="25">
        <f t="shared" si="488"/>
        <v>0</v>
      </c>
      <c r="DU34" s="25">
        <f t="shared" si="488"/>
        <v>0</v>
      </c>
      <c r="DV34" s="25">
        <f t="shared" si="488"/>
        <v>0</v>
      </c>
      <c r="DW34" s="25">
        <f t="shared" si="488"/>
        <v>0</v>
      </c>
      <c r="DX34" s="25">
        <f t="shared" si="488"/>
        <v>0</v>
      </c>
      <c r="DY34" s="25">
        <f t="shared" si="488"/>
        <v>0</v>
      </c>
      <c r="DZ34" s="25">
        <f t="shared" si="488"/>
        <v>0</v>
      </c>
      <c r="EA34" s="25">
        <f t="shared" si="488"/>
        <v>0</v>
      </c>
      <c r="EB34" s="25">
        <f t="shared" si="488"/>
        <v>0</v>
      </c>
      <c r="EC34" s="25">
        <f t="shared" si="499"/>
        <v>0</v>
      </c>
      <c r="ED34" s="10"/>
      <c r="EE34" s="25">
        <f t="shared" si="490"/>
        <v>0</v>
      </c>
      <c r="EF34" s="25">
        <f t="shared" si="490"/>
        <v>0</v>
      </c>
      <c r="EG34" s="25">
        <f t="shared" si="490"/>
        <v>0</v>
      </c>
      <c r="EH34" s="25">
        <f t="shared" si="490"/>
        <v>0</v>
      </c>
      <c r="EI34" s="25">
        <f t="shared" si="490"/>
        <v>0</v>
      </c>
      <c r="EJ34" s="25">
        <f t="shared" si="490"/>
        <v>0</v>
      </c>
      <c r="EK34" s="25">
        <f t="shared" si="490"/>
        <v>0</v>
      </c>
      <c r="EL34" s="25">
        <f t="shared" si="490"/>
        <v>0</v>
      </c>
      <c r="EM34" s="25">
        <f t="shared" si="490"/>
        <v>0</v>
      </c>
      <c r="EN34" s="25">
        <f t="shared" si="490"/>
        <v>0</v>
      </c>
      <c r="EO34" s="25">
        <f t="shared" si="490"/>
        <v>0</v>
      </c>
      <c r="EP34" s="25">
        <f t="shared" si="490"/>
        <v>0</v>
      </c>
      <c r="EQ34" s="25">
        <f t="shared" si="500"/>
        <v>0</v>
      </c>
      <c r="ER34" s="10"/>
    </row>
    <row r="35" spans="1:149" s="21" customFormat="1" ht="18.95" customHeight="1" outlineLevel="1">
      <c r="A35" s="21">
        <f t="shared" si="469"/>
        <v>830702</v>
      </c>
      <c r="B35" s="21">
        <f t="shared" si="470"/>
        <v>526702</v>
      </c>
      <c r="C35" s="21">
        <f t="shared" si="471"/>
        <v>0</v>
      </c>
      <c r="D35" s="21">
        <f t="shared" si="472"/>
        <v>4000.0000000000005</v>
      </c>
      <c r="E35" s="21">
        <f t="shared" si="473"/>
        <v>300000</v>
      </c>
      <c r="F35" s="22">
        <v>3100</v>
      </c>
      <c r="G35" s="229" t="s">
        <v>63</v>
      </c>
      <c r="H35" s="23"/>
      <c r="I35" s="229"/>
      <c r="J35" s="23"/>
      <c r="K35" s="23"/>
      <c r="L35" s="23"/>
      <c r="M35" s="24"/>
      <c r="N35" s="25"/>
      <c r="O35" s="25"/>
      <c r="P35" s="126"/>
      <c r="Q35" s="126"/>
      <c r="R35" s="126"/>
      <c r="S35" s="129"/>
      <c r="T35" s="35"/>
      <c r="U35" s="25"/>
      <c r="V35" s="25"/>
      <c r="W35" s="25">
        <f t="shared" si="474"/>
        <v>29000</v>
      </c>
      <c r="X35" s="25">
        <f t="shared" si="474"/>
        <v>29000</v>
      </c>
      <c r="Y35" s="25">
        <f t="shared" si="474"/>
        <v>29000</v>
      </c>
      <c r="Z35" s="25">
        <f t="shared" si="474"/>
        <v>29000</v>
      </c>
      <c r="AA35" s="25">
        <f t="shared" si="474"/>
        <v>29000</v>
      </c>
      <c r="AB35" s="25">
        <f t="shared" si="474"/>
        <v>29000</v>
      </c>
      <c r="AC35" s="25">
        <f t="shared" si="474"/>
        <v>29000</v>
      </c>
      <c r="AD35" s="25">
        <f t="shared" si="474"/>
        <v>29000</v>
      </c>
      <c r="AE35" s="25">
        <f t="shared" si="474"/>
        <v>29000</v>
      </c>
      <c r="AF35" s="25">
        <f t="shared" si="474"/>
        <v>29000</v>
      </c>
      <c r="AG35" s="25">
        <f t="shared" si="474"/>
        <v>29000</v>
      </c>
      <c r="AH35" s="25">
        <f t="shared" si="474"/>
        <v>29000</v>
      </c>
      <c r="AI35" s="25">
        <f t="shared" si="492"/>
        <v>348000</v>
      </c>
      <c r="AJ35" s="10"/>
      <c r="AK35" s="25">
        <f t="shared" si="476"/>
        <v>2900</v>
      </c>
      <c r="AL35" s="25">
        <f t="shared" si="476"/>
        <v>2900</v>
      </c>
      <c r="AM35" s="25">
        <f t="shared" si="476"/>
        <v>2900</v>
      </c>
      <c r="AN35" s="25">
        <f t="shared" si="476"/>
        <v>2900</v>
      </c>
      <c r="AO35" s="25">
        <f t="shared" si="476"/>
        <v>2900</v>
      </c>
      <c r="AP35" s="25">
        <f t="shared" si="476"/>
        <v>2900</v>
      </c>
      <c r="AQ35" s="25">
        <f t="shared" si="476"/>
        <v>2900</v>
      </c>
      <c r="AR35" s="25">
        <f t="shared" si="476"/>
        <v>2900</v>
      </c>
      <c r="AS35" s="25">
        <f t="shared" si="476"/>
        <v>2900</v>
      </c>
      <c r="AT35" s="25">
        <f t="shared" si="476"/>
        <v>2900</v>
      </c>
      <c r="AU35" s="25">
        <f t="shared" si="476"/>
        <v>2900</v>
      </c>
      <c r="AV35" s="25">
        <f t="shared" si="476"/>
        <v>2900</v>
      </c>
      <c r="AW35" s="25">
        <f t="shared" si="493"/>
        <v>34800</v>
      </c>
      <c r="AX35" s="10"/>
      <c r="AY35" s="25">
        <f t="shared" si="478"/>
        <v>1210</v>
      </c>
      <c r="AZ35" s="25">
        <f t="shared" si="478"/>
        <v>1100</v>
      </c>
      <c r="BA35" s="25">
        <f t="shared" si="478"/>
        <v>1155</v>
      </c>
      <c r="BB35" s="25">
        <f t="shared" si="478"/>
        <v>1100</v>
      </c>
      <c r="BC35" s="25">
        <f t="shared" si="478"/>
        <v>1155</v>
      </c>
      <c r="BD35" s="25">
        <f t="shared" si="478"/>
        <v>1155</v>
      </c>
      <c r="BE35" s="25">
        <f t="shared" si="478"/>
        <v>1100</v>
      </c>
      <c r="BF35" s="25">
        <f t="shared" si="478"/>
        <v>1265</v>
      </c>
      <c r="BG35" s="25">
        <f t="shared" si="478"/>
        <v>1045</v>
      </c>
      <c r="BH35" s="25">
        <f t="shared" si="478"/>
        <v>1265</v>
      </c>
      <c r="BI35" s="25">
        <f t="shared" si="478"/>
        <v>1210</v>
      </c>
      <c r="BJ35" s="25">
        <f t="shared" si="478"/>
        <v>990</v>
      </c>
      <c r="BK35" s="25">
        <f t="shared" si="494"/>
        <v>13750</v>
      </c>
      <c r="BL35" s="10"/>
      <c r="BM35" s="25">
        <f t="shared" si="480"/>
        <v>7975</v>
      </c>
      <c r="BN35" s="25">
        <f t="shared" si="480"/>
        <v>7975</v>
      </c>
      <c r="BO35" s="25">
        <f t="shared" si="480"/>
        <v>7975</v>
      </c>
      <c r="BP35" s="25">
        <f t="shared" si="480"/>
        <v>7975</v>
      </c>
      <c r="BQ35" s="25">
        <f t="shared" si="480"/>
        <v>7975</v>
      </c>
      <c r="BR35" s="25">
        <f t="shared" si="480"/>
        <v>7975</v>
      </c>
      <c r="BS35" s="25">
        <f t="shared" si="480"/>
        <v>7975</v>
      </c>
      <c r="BT35" s="25">
        <f t="shared" si="480"/>
        <v>7975</v>
      </c>
      <c r="BU35" s="25">
        <f t="shared" si="480"/>
        <v>7975</v>
      </c>
      <c r="BV35" s="25">
        <f t="shared" si="480"/>
        <v>7975</v>
      </c>
      <c r="BW35" s="25">
        <f t="shared" si="480"/>
        <v>7975</v>
      </c>
      <c r="BX35" s="25">
        <f t="shared" si="480"/>
        <v>7975</v>
      </c>
      <c r="BY35" s="25">
        <f t="shared" si="495"/>
        <v>95700</v>
      </c>
      <c r="BZ35" s="10"/>
      <c r="CA35" s="25">
        <f t="shared" si="482"/>
        <v>2871</v>
      </c>
      <c r="CB35" s="25">
        <f t="shared" si="482"/>
        <v>2871</v>
      </c>
      <c r="CC35" s="25">
        <f t="shared" si="482"/>
        <v>2871</v>
      </c>
      <c r="CD35" s="25">
        <f t="shared" si="482"/>
        <v>2871</v>
      </c>
      <c r="CE35" s="25">
        <f t="shared" si="482"/>
        <v>2871</v>
      </c>
      <c r="CF35" s="25">
        <f t="shared" si="482"/>
        <v>2871</v>
      </c>
      <c r="CG35" s="25">
        <f t="shared" si="482"/>
        <v>2871</v>
      </c>
      <c r="CH35" s="25">
        <f t="shared" si="482"/>
        <v>2871</v>
      </c>
      <c r="CI35" s="25">
        <f t="shared" si="482"/>
        <v>2871</v>
      </c>
      <c r="CJ35" s="25">
        <f t="shared" si="482"/>
        <v>2871</v>
      </c>
      <c r="CK35" s="25">
        <f t="shared" si="482"/>
        <v>2871</v>
      </c>
      <c r="CL35" s="25">
        <f t="shared" si="482"/>
        <v>2871</v>
      </c>
      <c r="CM35" s="25">
        <f t="shared" si="496"/>
        <v>34452</v>
      </c>
      <c r="CN35" s="10"/>
      <c r="CO35" s="25">
        <f t="shared" si="484"/>
        <v>0</v>
      </c>
      <c r="CP35" s="25">
        <f t="shared" si="484"/>
        <v>0</v>
      </c>
      <c r="CQ35" s="25">
        <f t="shared" si="484"/>
        <v>0</v>
      </c>
      <c r="CR35" s="25">
        <f t="shared" si="484"/>
        <v>0</v>
      </c>
      <c r="CS35" s="25">
        <f t="shared" si="484"/>
        <v>0</v>
      </c>
      <c r="CT35" s="25">
        <f t="shared" si="484"/>
        <v>0</v>
      </c>
      <c r="CU35" s="25">
        <f t="shared" si="484"/>
        <v>0</v>
      </c>
      <c r="CV35" s="25">
        <f t="shared" si="484"/>
        <v>0</v>
      </c>
      <c r="CW35" s="25">
        <f t="shared" si="484"/>
        <v>0</v>
      </c>
      <c r="CX35" s="25">
        <f t="shared" si="484"/>
        <v>0</v>
      </c>
      <c r="CY35" s="25">
        <f t="shared" si="484"/>
        <v>0</v>
      </c>
      <c r="CZ35" s="25">
        <f t="shared" si="484"/>
        <v>0</v>
      </c>
      <c r="DA35" s="25">
        <f t="shared" si="497"/>
        <v>0</v>
      </c>
      <c r="DB35" s="10"/>
      <c r="DC35" s="25">
        <f t="shared" si="486"/>
        <v>333.33333333333331</v>
      </c>
      <c r="DD35" s="25">
        <f t="shared" si="486"/>
        <v>333.33333333333331</v>
      </c>
      <c r="DE35" s="25">
        <f t="shared" si="486"/>
        <v>333.33333333333331</v>
      </c>
      <c r="DF35" s="25">
        <f t="shared" si="486"/>
        <v>333.33333333333331</v>
      </c>
      <c r="DG35" s="25">
        <f t="shared" si="486"/>
        <v>333.33333333333331</v>
      </c>
      <c r="DH35" s="25">
        <f t="shared" si="486"/>
        <v>333.33333333333331</v>
      </c>
      <c r="DI35" s="25">
        <f t="shared" si="486"/>
        <v>333.33333333333331</v>
      </c>
      <c r="DJ35" s="25">
        <f t="shared" si="486"/>
        <v>333.33333333333331</v>
      </c>
      <c r="DK35" s="25">
        <f t="shared" si="486"/>
        <v>333.33333333333331</v>
      </c>
      <c r="DL35" s="25">
        <f t="shared" si="486"/>
        <v>333.33333333333331</v>
      </c>
      <c r="DM35" s="25">
        <f t="shared" si="486"/>
        <v>333.33333333333331</v>
      </c>
      <c r="DN35" s="25">
        <f t="shared" si="486"/>
        <v>333.33333333333331</v>
      </c>
      <c r="DO35" s="25">
        <f t="shared" si="498"/>
        <v>4000.0000000000005</v>
      </c>
      <c r="DP35" s="10"/>
      <c r="DQ35" s="25">
        <f t="shared" si="488"/>
        <v>25000</v>
      </c>
      <c r="DR35" s="25">
        <f t="shared" si="488"/>
        <v>25000</v>
      </c>
      <c r="DS35" s="25">
        <f t="shared" si="488"/>
        <v>25000</v>
      </c>
      <c r="DT35" s="25">
        <f t="shared" si="488"/>
        <v>25000</v>
      </c>
      <c r="DU35" s="25">
        <f t="shared" si="488"/>
        <v>25000</v>
      </c>
      <c r="DV35" s="25">
        <f t="shared" si="488"/>
        <v>25000</v>
      </c>
      <c r="DW35" s="25">
        <f t="shared" si="488"/>
        <v>25000</v>
      </c>
      <c r="DX35" s="25">
        <f t="shared" si="488"/>
        <v>25000</v>
      </c>
      <c r="DY35" s="25">
        <f t="shared" si="488"/>
        <v>25000</v>
      </c>
      <c r="DZ35" s="25">
        <f t="shared" si="488"/>
        <v>25000</v>
      </c>
      <c r="EA35" s="25">
        <f t="shared" si="488"/>
        <v>25000</v>
      </c>
      <c r="EB35" s="25">
        <f t="shared" si="488"/>
        <v>25000</v>
      </c>
      <c r="EC35" s="25">
        <f t="shared" si="499"/>
        <v>300000</v>
      </c>
      <c r="ED35" s="10"/>
      <c r="EE35" s="25">
        <f t="shared" si="490"/>
        <v>43956</v>
      </c>
      <c r="EF35" s="25">
        <f t="shared" si="490"/>
        <v>43846</v>
      </c>
      <c r="EG35" s="25">
        <f t="shared" si="490"/>
        <v>43901</v>
      </c>
      <c r="EH35" s="25">
        <f t="shared" si="490"/>
        <v>43846</v>
      </c>
      <c r="EI35" s="25">
        <f t="shared" si="490"/>
        <v>43901</v>
      </c>
      <c r="EJ35" s="25">
        <f t="shared" si="490"/>
        <v>43901</v>
      </c>
      <c r="EK35" s="25">
        <f t="shared" si="490"/>
        <v>43846</v>
      </c>
      <c r="EL35" s="25">
        <f t="shared" si="490"/>
        <v>44011</v>
      </c>
      <c r="EM35" s="25">
        <f t="shared" si="490"/>
        <v>43791</v>
      </c>
      <c r="EN35" s="25">
        <f t="shared" si="490"/>
        <v>44011</v>
      </c>
      <c r="EO35" s="25">
        <f t="shared" si="490"/>
        <v>43956</v>
      </c>
      <c r="EP35" s="25">
        <f t="shared" si="490"/>
        <v>43736</v>
      </c>
      <c r="EQ35" s="25">
        <f t="shared" si="500"/>
        <v>526702</v>
      </c>
      <c r="ER35" s="10"/>
    </row>
    <row r="36" spans="1:149" s="21" customFormat="1" ht="18.95" customHeight="1" outlineLevel="1">
      <c r="A36" s="21">
        <f t="shared" si="469"/>
        <v>908206</v>
      </c>
      <c r="B36" s="21">
        <f t="shared" si="470"/>
        <v>869206</v>
      </c>
      <c r="C36" s="21">
        <f t="shared" si="471"/>
        <v>35000</v>
      </c>
      <c r="D36" s="21">
        <f t="shared" si="472"/>
        <v>4000.0000000000005</v>
      </c>
      <c r="E36" s="21">
        <f t="shared" si="473"/>
        <v>0</v>
      </c>
      <c r="F36" s="22">
        <v>4100</v>
      </c>
      <c r="G36" s="229" t="s">
        <v>54</v>
      </c>
      <c r="H36" s="23"/>
      <c r="I36" s="229"/>
      <c r="J36" s="23"/>
      <c r="K36" s="23"/>
      <c r="L36" s="23"/>
      <c r="M36" s="24"/>
      <c r="N36" s="25"/>
      <c r="O36" s="25"/>
      <c r="P36" s="126"/>
      <c r="Q36" s="126"/>
      <c r="R36" s="126"/>
      <c r="S36" s="129"/>
      <c r="T36" s="35"/>
      <c r="U36" s="25"/>
      <c r="V36" s="25"/>
      <c r="W36" s="25">
        <f t="shared" si="474"/>
        <v>40000</v>
      </c>
      <c r="X36" s="25">
        <f t="shared" si="474"/>
        <v>40000</v>
      </c>
      <c r="Y36" s="25">
        <f t="shared" si="474"/>
        <v>40000</v>
      </c>
      <c r="Z36" s="25">
        <f t="shared" si="474"/>
        <v>40000</v>
      </c>
      <c r="AA36" s="25">
        <f t="shared" si="474"/>
        <v>40000</v>
      </c>
      <c r="AB36" s="25">
        <f t="shared" si="474"/>
        <v>40000</v>
      </c>
      <c r="AC36" s="25">
        <f t="shared" si="474"/>
        <v>40000</v>
      </c>
      <c r="AD36" s="25">
        <f t="shared" si="474"/>
        <v>40000</v>
      </c>
      <c r="AE36" s="25">
        <f t="shared" si="474"/>
        <v>40000</v>
      </c>
      <c r="AF36" s="25">
        <f t="shared" si="474"/>
        <v>40000</v>
      </c>
      <c r="AG36" s="25">
        <f t="shared" si="474"/>
        <v>40000</v>
      </c>
      <c r="AH36" s="25">
        <f t="shared" si="474"/>
        <v>40000</v>
      </c>
      <c r="AI36" s="25">
        <f t="shared" si="492"/>
        <v>480000</v>
      </c>
      <c r="AJ36" s="10"/>
      <c r="AK36" s="25">
        <f t="shared" si="476"/>
        <v>13200</v>
      </c>
      <c r="AL36" s="25">
        <f t="shared" si="476"/>
        <v>13200</v>
      </c>
      <c r="AM36" s="25">
        <f t="shared" si="476"/>
        <v>13200</v>
      </c>
      <c r="AN36" s="25">
        <f t="shared" si="476"/>
        <v>13200</v>
      </c>
      <c r="AO36" s="25">
        <f t="shared" si="476"/>
        <v>13200</v>
      </c>
      <c r="AP36" s="25">
        <f t="shared" si="476"/>
        <v>13200</v>
      </c>
      <c r="AQ36" s="25">
        <f t="shared" si="476"/>
        <v>13200</v>
      </c>
      <c r="AR36" s="25">
        <f t="shared" si="476"/>
        <v>13200</v>
      </c>
      <c r="AS36" s="25">
        <f t="shared" si="476"/>
        <v>13200</v>
      </c>
      <c r="AT36" s="25">
        <f t="shared" si="476"/>
        <v>13200</v>
      </c>
      <c r="AU36" s="25">
        <f t="shared" si="476"/>
        <v>13200</v>
      </c>
      <c r="AV36" s="25">
        <f t="shared" si="476"/>
        <v>13200</v>
      </c>
      <c r="AW36" s="25">
        <f t="shared" si="493"/>
        <v>158400</v>
      </c>
      <c r="AX36" s="10"/>
      <c r="AY36" s="25">
        <f t="shared" si="478"/>
        <v>1210</v>
      </c>
      <c r="AZ36" s="25">
        <f t="shared" si="478"/>
        <v>1100</v>
      </c>
      <c r="BA36" s="25">
        <f t="shared" si="478"/>
        <v>1155</v>
      </c>
      <c r="BB36" s="25">
        <f t="shared" si="478"/>
        <v>1100</v>
      </c>
      <c r="BC36" s="25">
        <f t="shared" si="478"/>
        <v>1155</v>
      </c>
      <c r="BD36" s="25">
        <f t="shared" si="478"/>
        <v>1155</v>
      </c>
      <c r="BE36" s="25">
        <f t="shared" si="478"/>
        <v>1100</v>
      </c>
      <c r="BF36" s="25">
        <f t="shared" si="478"/>
        <v>1265</v>
      </c>
      <c r="BG36" s="25">
        <f t="shared" si="478"/>
        <v>1045</v>
      </c>
      <c r="BH36" s="25">
        <f t="shared" si="478"/>
        <v>1265</v>
      </c>
      <c r="BI36" s="25">
        <f t="shared" si="478"/>
        <v>1210</v>
      </c>
      <c r="BJ36" s="25">
        <f t="shared" si="478"/>
        <v>990</v>
      </c>
      <c r="BK36" s="25">
        <f t="shared" si="494"/>
        <v>13750</v>
      </c>
      <c r="BL36" s="10"/>
      <c r="BM36" s="25">
        <f t="shared" si="480"/>
        <v>13300</v>
      </c>
      <c r="BN36" s="25">
        <f t="shared" si="480"/>
        <v>13300</v>
      </c>
      <c r="BO36" s="25">
        <f t="shared" si="480"/>
        <v>13300</v>
      </c>
      <c r="BP36" s="25">
        <f t="shared" si="480"/>
        <v>13300</v>
      </c>
      <c r="BQ36" s="25">
        <f t="shared" si="480"/>
        <v>13300</v>
      </c>
      <c r="BR36" s="25">
        <f t="shared" si="480"/>
        <v>13300</v>
      </c>
      <c r="BS36" s="25">
        <f t="shared" si="480"/>
        <v>13300</v>
      </c>
      <c r="BT36" s="25">
        <f t="shared" si="480"/>
        <v>13300</v>
      </c>
      <c r="BU36" s="25">
        <f t="shared" si="480"/>
        <v>13300</v>
      </c>
      <c r="BV36" s="25">
        <f t="shared" si="480"/>
        <v>13300</v>
      </c>
      <c r="BW36" s="25">
        <f t="shared" si="480"/>
        <v>13300</v>
      </c>
      <c r="BX36" s="25">
        <f t="shared" si="480"/>
        <v>13300</v>
      </c>
      <c r="BY36" s="25">
        <f t="shared" si="495"/>
        <v>159600</v>
      </c>
      <c r="BZ36" s="10"/>
      <c r="CA36" s="25">
        <f t="shared" si="482"/>
        <v>4788</v>
      </c>
      <c r="CB36" s="25">
        <f t="shared" si="482"/>
        <v>4788</v>
      </c>
      <c r="CC36" s="25">
        <f t="shared" si="482"/>
        <v>4788</v>
      </c>
      <c r="CD36" s="25">
        <f t="shared" si="482"/>
        <v>4788</v>
      </c>
      <c r="CE36" s="25">
        <f t="shared" si="482"/>
        <v>4788</v>
      </c>
      <c r="CF36" s="25">
        <f t="shared" si="482"/>
        <v>4788</v>
      </c>
      <c r="CG36" s="25">
        <f t="shared" si="482"/>
        <v>4788</v>
      </c>
      <c r="CH36" s="25">
        <f t="shared" si="482"/>
        <v>4788</v>
      </c>
      <c r="CI36" s="25">
        <f t="shared" si="482"/>
        <v>4788</v>
      </c>
      <c r="CJ36" s="25">
        <f t="shared" si="482"/>
        <v>4788</v>
      </c>
      <c r="CK36" s="25">
        <f t="shared" si="482"/>
        <v>4788</v>
      </c>
      <c r="CL36" s="25">
        <f t="shared" si="482"/>
        <v>4788</v>
      </c>
      <c r="CM36" s="25">
        <f t="shared" si="496"/>
        <v>57456</v>
      </c>
      <c r="CN36" s="10"/>
      <c r="CO36" s="25">
        <f t="shared" si="484"/>
        <v>0</v>
      </c>
      <c r="CP36" s="25">
        <f t="shared" si="484"/>
        <v>0</v>
      </c>
      <c r="CQ36" s="25">
        <f t="shared" si="484"/>
        <v>0</v>
      </c>
      <c r="CR36" s="25">
        <f t="shared" si="484"/>
        <v>0</v>
      </c>
      <c r="CS36" s="25">
        <f t="shared" si="484"/>
        <v>17500</v>
      </c>
      <c r="CT36" s="25">
        <f t="shared" si="484"/>
        <v>0</v>
      </c>
      <c r="CU36" s="25">
        <f t="shared" si="484"/>
        <v>0</v>
      </c>
      <c r="CV36" s="25">
        <f t="shared" si="484"/>
        <v>0</v>
      </c>
      <c r="CW36" s="25">
        <f t="shared" si="484"/>
        <v>0</v>
      </c>
      <c r="CX36" s="25">
        <f t="shared" si="484"/>
        <v>0</v>
      </c>
      <c r="CY36" s="25">
        <f t="shared" si="484"/>
        <v>17500</v>
      </c>
      <c r="CZ36" s="25">
        <f t="shared" si="484"/>
        <v>0</v>
      </c>
      <c r="DA36" s="25">
        <f t="shared" si="497"/>
        <v>35000</v>
      </c>
      <c r="DB36" s="10"/>
      <c r="DC36" s="25">
        <f t="shared" si="486"/>
        <v>333.33333333333331</v>
      </c>
      <c r="DD36" s="25">
        <f t="shared" si="486"/>
        <v>333.33333333333331</v>
      </c>
      <c r="DE36" s="25">
        <f t="shared" si="486"/>
        <v>333.33333333333331</v>
      </c>
      <c r="DF36" s="25">
        <f t="shared" si="486"/>
        <v>333.33333333333331</v>
      </c>
      <c r="DG36" s="25">
        <f t="shared" si="486"/>
        <v>333.33333333333331</v>
      </c>
      <c r="DH36" s="25">
        <f t="shared" si="486"/>
        <v>333.33333333333331</v>
      </c>
      <c r="DI36" s="25">
        <f t="shared" si="486"/>
        <v>333.33333333333331</v>
      </c>
      <c r="DJ36" s="25">
        <f t="shared" si="486"/>
        <v>333.33333333333331</v>
      </c>
      <c r="DK36" s="25">
        <f t="shared" si="486"/>
        <v>333.33333333333331</v>
      </c>
      <c r="DL36" s="25">
        <f t="shared" si="486"/>
        <v>333.33333333333331</v>
      </c>
      <c r="DM36" s="25">
        <f t="shared" si="486"/>
        <v>333.33333333333331</v>
      </c>
      <c r="DN36" s="25">
        <f t="shared" si="486"/>
        <v>333.33333333333331</v>
      </c>
      <c r="DO36" s="25">
        <f t="shared" si="498"/>
        <v>4000.0000000000005</v>
      </c>
      <c r="DP36" s="10"/>
      <c r="DQ36" s="25">
        <f t="shared" si="488"/>
        <v>0</v>
      </c>
      <c r="DR36" s="25">
        <f t="shared" si="488"/>
        <v>0</v>
      </c>
      <c r="DS36" s="25">
        <f t="shared" si="488"/>
        <v>0</v>
      </c>
      <c r="DT36" s="25">
        <f t="shared" si="488"/>
        <v>0</v>
      </c>
      <c r="DU36" s="25">
        <f t="shared" si="488"/>
        <v>0</v>
      </c>
      <c r="DV36" s="25">
        <f t="shared" si="488"/>
        <v>0</v>
      </c>
      <c r="DW36" s="25">
        <f t="shared" si="488"/>
        <v>0</v>
      </c>
      <c r="DX36" s="25">
        <f t="shared" si="488"/>
        <v>0</v>
      </c>
      <c r="DY36" s="25">
        <f t="shared" si="488"/>
        <v>0</v>
      </c>
      <c r="DZ36" s="25">
        <f t="shared" si="488"/>
        <v>0</v>
      </c>
      <c r="EA36" s="25">
        <f t="shared" si="488"/>
        <v>0</v>
      </c>
      <c r="EB36" s="25">
        <f t="shared" si="488"/>
        <v>0</v>
      </c>
      <c r="EC36" s="25">
        <f t="shared" si="499"/>
        <v>0</v>
      </c>
      <c r="ED36" s="10"/>
      <c r="EE36" s="25">
        <f t="shared" si="490"/>
        <v>72498</v>
      </c>
      <c r="EF36" s="25">
        <f t="shared" si="490"/>
        <v>72388</v>
      </c>
      <c r="EG36" s="25">
        <f t="shared" si="490"/>
        <v>72443</v>
      </c>
      <c r="EH36" s="25">
        <f t="shared" si="490"/>
        <v>72388</v>
      </c>
      <c r="EI36" s="25">
        <f t="shared" si="490"/>
        <v>72443</v>
      </c>
      <c r="EJ36" s="25">
        <f t="shared" si="490"/>
        <v>72443</v>
      </c>
      <c r="EK36" s="25">
        <f t="shared" si="490"/>
        <v>72388</v>
      </c>
      <c r="EL36" s="25">
        <f t="shared" si="490"/>
        <v>72553</v>
      </c>
      <c r="EM36" s="25">
        <f t="shared" si="490"/>
        <v>72333</v>
      </c>
      <c r="EN36" s="25">
        <f t="shared" si="490"/>
        <v>72553</v>
      </c>
      <c r="EO36" s="25">
        <f t="shared" si="490"/>
        <v>72498</v>
      </c>
      <c r="EP36" s="25">
        <f t="shared" si="490"/>
        <v>72278</v>
      </c>
      <c r="EQ36" s="25">
        <f t="shared" si="500"/>
        <v>869206</v>
      </c>
      <c r="ER36" s="10"/>
    </row>
    <row r="37" spans="1:149" s="21" customFormat="1" ht="18.95" customHeight="1" outlineLevel="1">
      <c r="A37" s="21">
        <f t="shared" si="469"/>
        <v>1091580.0000000002</v>
      </c>
      <c r="B37" s="21">
        <f t="shared" si="470"/>
        <v>1048580.0000000002</v>
      </c>
      <c r="C37" s="21">
        <f t="shared" si="471"/>
        <v>35000</v>
      </c>
      <c r="D37" s="21">
        <f t="shared" si="472"/>
        <v>8000.0000000000009</v>
      </c>
      <c r="E37" s="21">
        <f t="shared" si="473"/>
        <v>0</v>
      </c>
      <c r="F37" s="22">
        <v>5100</v>
      </c>
      <c r="G37" s="229" t="s">
        <v>64</v>
      </c>
      <c r="H37" s="23"/>
      <c r="I37" s="229"/>
      <c r="J37" s="23"/>
      <c r="K37" s="23"/>
      <c r="L37" s="23"/>
      <c r="M37" s="24"/>
      <c r="N37" s="25"/>
      <c r="O37" s="25"/>
      <c r="P37" s="126"/>
      <c r="Q37" s="126"/>
      <c r="R37" s="126"/>
      <c r="S37" s="129"/>
      <c r="T37" s="35"/>
      <c r="U37" s="25"/>
      <c r="V37" s="25"/>
      <c r="W37" s="25">
        <f t="shared" si="474"/>
        <v>55000.000000000007</v>
      </c>
      <c r="X37" s="25">
        <f t="shared" si="474"/>
        <v>55000.000000000007</v>
      </c>
      <c r="Y37" s="25">
        <f t="shared" si="474"/>
        <v>55000.000000000007</v>
      </c>
      <c r="Z37" s="25">
        <f t="shared" si="474"/>
        <v>55000.000000000007</v>
      </c>
      <c r="AA37" s="25">
        <f t="shared" si="474"/>
        <v>55000.000000000007</v>
      </c>
      <c r="AB37" s="25">
        <f t="shared" si="474"/>
        <v>55000.000000000007</v>
      </c>
      <c r="AC37" s="25">
        <f t="shared" si="474"/>
        <v>55000.000000000007</v>
      </c>
      <c r="AD37" s="25">
        <f t="shared" si="474"/>
        <v>55000.000000000007</v>
      </c>
      <c r="AE37" s="25">
        <f t="shared" si="474"/>
        <v>55000.000000000007</v>
      </c>
      <c r="AF37" s="25">
        <f t="shared" si="474"/>
        <v>55000.000000000007</v>
      </c>
      <c r="AG37" s="25">
        <f t="shared" si="474"/>
        <v>55000.000000000007</v>
      </c>
      <c r="AH37" s="25">
        <f t="shared" si="474"/>
        <v>55000.000000000007</v>
      </c>
      <c r="AI37" s="25">
        <f t="shared" si="492"/>
        <v>660000.00000000012</v>
      </c>
      <c r="AJ37" s="10"/>
      <c r="AK37" s="25">
        <f t="shared" si="476"/>
        <v>8500.0000000000018</v>
      </c>
      <c r="AL37" s="25">
        <f t="shared" si="476"/>
        <v>8500.0000000000018</v>
      </c>
      <c r="AM37" s="25">
        <f t="shared" si="476"/>
        <v>8500.0000000000018</v>
      </c>
      <c r="AN37" s="25">
        <f t="shared" si="476"/>
        <v>8500.0000000000018</v>
      </c>
      <c r="AO37" s="25">
        <f t="shared" si="476"/>
        <v>8500.0000000000018</v>
      </c>
      <c r="AP37" s="25">
        <f t="shared" si="476"/>
        <v>8500.0000000000018</v>
      </c>
      <c r="AQ37" s="25">
        <f t="shared" si="476"/>
        <v>8500.0000000000018</v>
      </c>
      <c r="AR37" s="25">
        <f t="shared" si="476"/>
        <v>8500.0000000000018</v>
      </c>
      <c r="AS37" s="25">
        <f t="shared" si="476"/>
        <v>8500.0000000000018</v>
      </c>
      <c r="AT37" s="25">
        <f t="shared" si="476"/>
        <v>8500.0000000000018</v>
      </c>
      <c r="AU37" s="25">
        <f t="shared" si="476"/>
        <v>8500.0000000000018</v>
      </c>
      <c r="AV37" s="25">
        <f t="shared" si="476"/>
        <v>8500.0000000000018</v>
      </c>
      <c r="AW37" s="25">
        <f t="shared" si="493"/>
        <v>102000.00000000001</v>
      </c>
      <c r="AX37" s="10"/>
      <c r="AY37" s="25">
        <f t="shared" si="478"/>
        <v>2420</v>
      </c>
      <c r="AZ37" s="25">
        <f t="shared" si="478"/>
        <v>2200</v>
      </c>
      <c r="BA37" s="25">
        <f t="shared" si="478"/>
        <v>2310</v>
      </c>
      <c r="BB37" s="25">
        <f t="shared" si="478"/>
        <v>2200</v>
      </c>
      <c r="BC37" s="25">
        <f t="shared" si="478"/>
        <v>2310</v>
      </c>
      <c r="BD37" s="25">
        <f t="shared" si="478"/>
        <v>2310</v>
      </c>
      <c r="BE37" s="25">
        <f t="shared" si="478"/>
        <v>2200</v>
      </c>
      <c r="BF37" s="25">
        <f t="shared" si="478"/>
        <v>2530</v>
      </c>
      <c r="BG37" s="25">
        <f t="shared" si="478"/>
        <v>2090</v>
      </c>
      <c r="BH37" s="25">
        <f t="shared" si="478"/>
        <v>2530</v>
      </c>
      <c r="BI37" s="25">
        <f t="shared" si="478"/>
        <v>2420</v>
      </c>
      <c r="BJ37" s="25">
        <f t="shared" si="478"/>
        <v>1980</v>
      </c>
      <c r="BK37" s="25">
        <f t="shared" si="494"/>
        <v>27500</v>
      </c>
      <c r="BL37" s="10"/>
      <c r="BM37" s="25">
        <f t="shared" si="480"/>
        <v>15875.000000000004</v>
      </c>
      <c r="BN37" s="25">
        <f t="shared" si="480"/>
        <v>15875.000000000004</v>
      </c>
      <c r="BO37" s="25">
        <f t="shared" si="480"/>
        <v>15875.000000000004</v>
      </c>
      <c r="BP37" s="25">
        <f t="shared" si="480"/>
        <v>15875.000000000004</v>
      </c>
      <c r="BQ37" s="25">
        <f t="shared" si="480"/>
        <v>15875.000000000004</v>
      </c>
      <c r="BR37" s="25">
        <f t="shared" si="480"/>
        <v>15875.000000000004</v>
      </c>
      <c r="BS37" s="25">
        <f t="shared" si="480"/>
        <v>15875.000000000004</v>
      </c>
      <c r="BT37" s="25">
        <f t="shared" si="480"/>
        <v>15875.000000000004</v>
      </c>
      <c r="BU37" s="25">
        <f t="shared" si="480"/>
        <v>15875.000000000004</v>
      </c>
      <c r="BV37" s="25">
        <f t="shared" si="480"/>
        <v>15875.000000000004</v>
      </c>
      <c r="BW37" s="25">
        <f t="shared" si="480"/>
        <v>15875.000000000004</v>
      </c>
      <c r="BX37" s="25">
        <f t="shared" si="480"/>
        <v>15875.000000000004</v>
      </c>
      <c r="BY37" s="25">
        <f t="shared" si="495"/>
        <v>190500.00000000003</v>
      </c>
      <c r="BZ37" s="10"/>
      <c r="CA37" s="25">
        <f t="shared" si="482"/>
        <v>5715.0000000000009</v>
      </c>
      <c r="CB37" s="25">
        <f t="shared" si="482"/>
        <v>5715.0000000000009</v>
      </c>
      <c r="CC37" s="25">
        <f t="shared" si="482"/>
        <v>5715.0000000000009</v>
      </c>
      <c r="CD37" s="25">
        <f t="shared" si="482"/>
        <v>5715.0000000000009</v>
      </c>
      <c r="CE37" s="25">
        <f t="shared" si="482"/>
        <v>5715.0000000000009</v>
      </c>
      <c r="CF37" s="25">
        <f t="shared" si="482"/>
        <v>5715.0000000000009</v>
      </c>
      <c r="CG37" s="25">
        <f t="shared" si="482"/>
        <v>5715.0000000000009</v>
      </c>
      <c r="CH37" s="25">
        <f t="shared" si="482"/>
        <v>5715.0000000000009</v>
      </c>
      <c r="CI37" s="25">
        <f t="shared" si="482"/>
        <v>5715.0000000000009</v>
      </c>
      <c r="CJ37" s="25">
        <f t="shared" si="482"/>
        <v>5715.0000000000009</v>
      </c>
      <c r="CK37" s="25">
        <f t="shared" si="482"/>
        <v>5715.0000000000009</v>
      </c>
      <c r="CL37" s="25">
        <f t="shared" si="482"/>
        <v>5715.0000000000009</v>
      </c>
      <c r="CM37" s="25">
        <f t="shared" si="496"/>
        <v>68580.000000000015</v>
      </c>
      <c r="CN37" s="10"/>
      <c r="CO37" s="25">
        <f t="shared" si="484"/>
        <v>0</v>
      </c>
      <c r="CP37" s="25">
        <f t="shared" si="484"/>
        <v>0</v>
      </c>
      <c r="CQ37" s="25">
        <f t="shared" si="484"/>
        <v>0</v>
      </c>
      <c r="CR37" s="25">
        <f t="shared" si="484"/>
        <v>0</v>
      </c>
      <c r="CS37" s="25">
        <f t="shared" si="484"/>
        <v>17500</v>
      </c>
      <c r="CT37" s="25">
        <f t="shared" si="484"/>
        <v>0</v>
      </c>
      <c r="CU37" s="25">
        <f t="shared" si="484"/>
        <v>0</v>
      </c>
      <c r="CV37" s="25">
        <f t="shared" si="484"/>
        <v>0</v>
      </c>
      <c r="CW37" s="25">
        <f t="shared" si="484"/>
        <v>0</v>
      </c>
      <c r="CX37" s="25">
        <f t="shared" si="484"/>
        <v>0</v>
      </c>
      <c r="CY37" s="25">
        <f t="shared" si="484"/>
        <v>17500</v>
      </c>
      <c r="CZ37" s="25">
        <f t="shared" si="484"/>
        <v>0</v>
      </c>
      <c r="DA37" s="25">
        <f t="shared" si="497"/>
        <v>35000</v>
      </c>
      <c r="DB37" s="10"/>
      <c r="DC37" s="25">
        <f t="shared" si="486"/>
        <v>666.66666666666663</v>
      </c>
      <c r="DD37" s="25">
        <f t="shared" si="486"/>
        <v>666.66666666666663</v>
      </c>
      <c r="DE37" s="25">
        <f t="shared" si="486"/>
        <v>666.66666666666663</v>
      </c>
      <c r="DF37" s="25">
        <f t="shared" si="486"/>
        <v>666.66666666666663</v>
      </c>
      <c r="DG37" s="25">
        <f t="shared" si="486"/>
        <v>666.66666666666663</v>
      </c>
      <c r="DH37" s="25">
        <f t="shared" si="486"/>
        <v>666.66666666666663</v>
      </c>
      <c r="DI37" s="25">
        <f t="shared" si="486"/>
        <v>666.66666666666663</v>
      </c>
      <c r="DJ37" s="25">
        <f t="shared" si="486"/>
        <v>666.66666666666663</v>
      </c>
      <c r="DK37" s="25">
        <f t="shared" si="486"/>
        <v>666.66666666666663</v>
      </c>
      <c r="DL37" s="25">
        <f t="shared" si="486"/>
        <v>666.66666666666663</v>
      </c>
      <c r="DM37" s="25">
        <f t="shared" si="486"/>
        <v>666.66666666666663</v>
      </c>
      <c r="DN37" s="25">
        <f t="shared" si="486"/>
        <v>666.66666666666663</v>
      </c>
      <c r="DO37" s="25">
        <f t="shared" si="498"/>
        <v>8000.0000000000009</v>
      </c>
      <c r="DP37" s="10"/>
      <c r="DQ37" s="25">
        <f t="shared" si="488"/>
        <v>0</v>
      </c>
      <c r="DR37" s="25">
        <f t="shared" si="488"/>
        <v>0</v>
      </c>
      <c r="DS37" s="25">
        <f t="shared" si="488"/>
        <v>0</v>
      </c>
      <c r="DT37" s="25">
        <f t="shared" si="488"/>
        <v>0</v>
      </c>
      <c r="DU37" s="25">
        <f t="shared" si="488"/>
        <v>0</v>
      </c>
      <c r="DV37" s="25">
        <f t="shared" si="488"/>
        <v>0</v>
      </c>
      <c r="DW37" s="25">
        <f t="shared" si="488"/>
        <v>0</v>
      </c>
      <c r="DX37" s="25">
        <f t="shared" si="488"/>
        <v>0</v>
      </c>
      <c r="DY37" s="25">
        <f t="shared" si="488"/>
        <v>0</v>
      </c>
      <c r="DZ37" s="25">
        <f t="shared" si="488"/>
        <v>0</v>
      </c>
      <c r="EA37" s="25">
        <f t="shared" si="488"/>
        <v>0</v>
      </c>
      <c r="EB37" s="25">
        <f t="shared" si="488"/>
        <v>0</v>
      </c>
      <c r="EC37" s="25">
        <f t="shared" si="499"/>
        <v>0</v>
      </c>
      <c r="ED37" s="10"/>
      <c r="EE37" s="25">
        <f t="shared" si="490"/>
        <v>87510.000000000015</v>
      </c>
      <c r="EF37" s="25">
        <f t="shared" si="490"/>
        <v>87290.000000000015</v>
      </c>
      <c r="EG37" s="25">
        <f t="shared" si="490"/>
        <v>87400.000000000015</v>
      </c>
      <c r="EH37" s="25">
        <f t="shared" si="490"/>
        <v>87290.000000000015</v>
      </c>
      <c r="EI37" s="25">
        <f t="shared" si="490"/>
        <v>87400.000000000015</v>
      </c>
      <c r="EJ37" s="25">
        <f t="shared" si="490"/>
        <v>87400.000000000015</v>
      </c>
      <c r="EK37" s="25">
        <f t="shared" si="490"/>
        <v>87290.000000000015</v>
      </c>
      <c r="EL37" s="25">
        <f t="shared" si="490"/>
        <v>87620.000000000015</v>
      </c>
      <c r="EM37" s="25">
        <f t="shared" si="490"/>
        <v>87180.000000000015</v>
      </c>
      <c r="EN37" s="25">
        <f t="shared" si="490"/>
        <v>87620.000000000015</v>
      </c>
      <c r="EO37" s="25">
        <f t="shared" si="490"/>
        <v>87510.000000000015</v>
      </c>
      <c r="EP37" s="25">
        <f t="shared" si="490"/>
        <v>87070.000000000015</v>
      </c>
      <c r="EQ37" s="25">
        <f t="shared" si="500"/>
        <v>1048580.0000000002</v>
      </c>
      <c r="ER37" s="10"/>
    </row>
    <row r="38" spans="1:149" s="21" customFormat="1" ht="18.95" customHeight="1" outlineLevel="1">
      <c r="A38" s="21">
        <f t="shared" si="469"/>
        <v>2718640.2000000007</v>
      </c>
      <c r="B38" s="21">
        <f t="shared" si="470"/>
        <v>2651640.2000000007</v>
      </c>
      <c r="C38" s="21">
        <f t="shared" si="471"/>
        <v>47000</v>
      </c>
      <c r="D38" s="21">
        <f t="shared" si="472"/>
        <v>20000</v>
      </c>
      <c r="E38" s="21">
        <f t="shared" si="473"/>
        <v>0</v>
      </c>
      <c r="F38" s="22">
        <v>6100</v>
      </c>
      <c r="G38" s="229" t="s">
        <v>65</v>
      </c>
      <c r="H38" s="23"/>
      <c r="I38" s="229"/>
      <c r="J38" s="23"/>
      <c r="K38" s="23"/>
      <c r="L38" s="23"/>
      <c r="M38" s="24"/>
      <c r="N38" s="25"/>
      <c r="O38" s="25"/>
      <c r="P38" s="126"/>
      <c r="Q38" s="126"/>
      <c r="R38" s="126"/>
      <c r="S38" s="129"/>
      <c r="T38" s="35"/>
      <c r="U38" s="25"/>
      <c r="V38" s="25"/>
      <c r="W38" s="25">
        <f t="shared" si="474"/>
        <v>146025.00000000003</v>
      </c>
      <c r="X38" s="25">
        <f t="shared" si="474"/>
        <v>146025.00000000003</v>
      </c>
      <c r="Y38" s="25">
        <f t="shared" si="474"/>
        <v>146025.00000000003</v>
      </c>
      <c r="Z38" s="25">
        <f t="shared" si="474"/>
        <v>146025.00000000003</v>
      </c>
      <c r="AA38" s="25">
        <f t="shared" si="474"/>
        <v>146025.00000000003</v>
      </c>
      <c r="AB38" s="25">
        <f t="shared" si="474"/>
        <v>146025.00000000003</v>
      </c>
      <c r="AC38" s="25">
        <f t="shared" si="474"/>
        <v>146025.00000000003</v>
      </c>
      <c r="AD38" s="25">
        <f t="shared" si="474"/>
        <v>146025.00000000003</v>
      </c>
      <c r="AE38" s="25">
        <f t="shared" si="474"/>
        <v>146025.00000000003</v>
      </c>
      <c r="AF38" s="25">
        <f t="shared" si="474"/>
        <v>146025.00000000003</v>
      </c>
      <c r="AG38" s="25">
        <f t="shared" si="474"/>
        <v>146025.00000000003</v>
      </c>
      <c r="AH38" s="25">
        <f t="shared" si="474"/>
        <v>146025.00000000003</v>
      </c>
      <c r="AI38" s="25">
        <f t="shared" si="492"/>
        <v>1752300.0000000002</v>
      </c>
      <c r="AJ38" s="10"/>
      <c r="AK38" s="25">
        <f t="shared" si="476"/>
        <v>14602.500000000004</v>
      </c>
      <c r="AL38" s="25">
        <f t="shared" si="476"/>
        <v>14602.500000000004</v>
      </c>
      <c r="AM38" s="25">
        <f t="shared" si="476"/>
        <v>14602.500000000004</v>
      </c>
      <c r="AN38" s="25">
        <f t="shared" si="476"/>
        <v>14602.500000000004</v>
      </c>
      <c r="AO38" s="25">
        <f t="shared" si="476"/>
        <v>14602.500000000004</v>
      </c>
      <c r="AP38" s="25">
        <f t="shared" si="476"/>
        <v>14602.500000000004</v>
      </c>
      <c r="AQ38" s="25">
        <f t="shared" si="476"/>
        <v>14602.500000000004</v>
      </c>
      <c r="AR38" s="25">
        <f t="shared" si="476"/>
        <v>14602.500000000004</v>
      </c>
      <c r="AS38" s="25">
        <f t="shared" si="476"/>
        <v>14602.500000000004</v>
      </c>
      <c r="AT38" s="25">
        <f t="shared" si="476"/>
        <v>14602.500000000004</v>
      </c>
      <c r="AU38" s="25">
        <f t="shared" si="476"/>
        <v>14602.500000000004</v>
      </c>
      <c r="AV38" s="25">
        <f t="shared" si="476"/>
        <v>14602.500000000004</v>
      </c>
      <c r="AW38" s="25">
        <f t="shared" si="493"/>
        <v>175230.00000000003</v>
      </c>
      <c r="AX38" s="10"/>
      <c r="AY38" s="25">
        <f t="shared" si="478"/>
        <v>6050</v>
      </c>
      <c r="AZ38" s="25">
        <f t="shared" si="478"/>
        <v>5500</v>
      </c>
      <c r="BA38" s="25">
        <f t="shared" si="478"/>
        <v>5775</v>
      </c>
      <c r="BB38" s="25">
        <f t="shared" si="478"/>
        <v>5500</v>
      </c>
      <c r="BC38" s="25">
        <f t="shared" si="478"/>
        <v>5775</v>
      </c>
      <c r="BD38" s="25">
        <f t="shared" si="478"/>
        <v>5775</v>
      </c>
      <c r="BE38" s="25">
        <f t="shared" si="478"/>
        <v>5500</v>
      </c>
      <c r="BF38" s="25">
        <f t="shared" si="478"/>
        <v>6325</v>
      </c>
      <c r="BG38" s="25">
        <f t="shared" si="478"/>
        <v>5225</v>
      </c>
      <c r="BH38" s="25">
        <f t="shared" si="478"/>
        <v>6325</v>
      </c>
      <c r="BI38" s="25">
        <f t="shared" si="478"/>
        <v>6050</v>
      </c>
      <c r="BJ38" s="25">
        <f t="shared" si="478"/>
        <v>4950</v>
      </c>
      <c r="BK38" s="25">
        <f t="shared" si="494"/>
        <v>68750</v>
      </c>
      <c r="BL38" s="10"/>
      <c r="BM38" s="25">
        <f t="shared" si="480"/>
        <v>40156.875000000007</v>
      </c>
      <c r="BN38" s="25">
        <f t="shared" si="480"/>
        <v>40156.875000000007</v>
      </c>
      <c r="BO38" s="25">
        <f t="shared" si="480"/>
        <v>40156.875000000007</v>
      </c>
      <c r="BP38" s="25">
        <f t="shared" si="480"/>
        <v>40156.875000000007</v>
      </c>
      <c r="BQ38" s="25">
        <f t="shared" si="480"/>
        <v>40156.875000000007</v>
      </c>
      <c r="BR38" s="25">
        <f t="shared" si="480"/>
        <v>40156.875000000007</v>
      </c>
      <c r="BS38" s="25">
        <f t="shared" si="480"/>
        <v>40156.875000000007</v>
      </c>
      <c r="BT38" s="25">
        <f t="shared" si="480"/>
        <v>40156.875000000007</v>
      </c>
      <c r="BU38" s="25">
        <f t="shared" si="480"/>
        <v>40156.875000000007</v>
      </c>
      <c r="BV38" s="25">
        <f t="shared" si="480"/>
        <v>40156.875000000007</v>
      </c>
      <c r="BW38" s="25">
        <f t="shared" si="480"/>
        <v>40156.875000000007</v>
      </c>
      <c r="BX38" s="25">
        <f t="shared" si="480"/>
        <v>40156.875000000007</v>
      </c>
      <c r="BY38" s="25">
        <f t="shared" si="495"/>
        <v>481882.50000000006</v>
      </c>
      <c r="BZ38" s="10"/>
      <c r="CA38" s="25">
        <f t="shared" si="482"/>
        <v>14456.475000000002</v>
      </c>
      <c r="CB38" s="25">
        <f t="shared" si="482"/>
        <v>14456.475000000002</v>
      </c>
      <c r="CC38" s="25">
        <f t="shared" si="482"/>
        <v>14456.475000000002</v>
      </c>
      <c r="CD38" s="25">
        <f t="shared" si="482"/>
        <v>14456.475000000002</v>
      </c>
      <c r="CE38" s="25">
        <f t="shared" si="482"/>
        <v>14456.475000000002</v>
      </c>
      <c r="CF38" s="25">
        <f t="shared" si="482"/>
        <v>14456.475000000002</v>
      </c>
      <c r="CG38" s="25">
        <f t="shared" si="482"/>
        <v>14456.475000000002</v>
      </c>
      <c r="CH38" s="25">
        <f t="shared" si="482"/>
        <v>14456.475000000002</v>
      </c>
      <c r="CI38" s="25">
        <f t="shared" si="482"/>
        <v>14456.475000000002</v>
      </c>
      <c r="CJ38" s="25">
        <f t="shared" si="482"/>
        <v>14456.475000000002</v>
      </c>
      <c r="CK38" s="25">
        <f t="shared" si="482"/>
        <v>14456.475000000002</v>
      </c>
      <c r="CL38" s="25">
        <f t="shared" si="482"/>
        <v>14456.475000000002</v>
      </c>
      <c r="CM38" s="25">
        <f t="shared" si="496"/>
        <v>173477.70000000004</v>
      </c>
      <c r="CN38" s="10"/>
      <c r="CO38" s="25">
        <f t="shared" si="484"/>
        <v>0</v>
      </c>
      <c r="CP38" s="25">
        <f t="shared" si="484"/>
        <v>0</v>
      </c>
      <c r="CQ38" s="25">
        <f t="shared" si="484"/>
        <v>3000</v>
      </c>
      <c r="CR38" s="25">
        <f t="shared" si="484"/>
        <v>0</v>
      </c>
      <c r="CS38" s="25">
        <f t="shared" si="484"/>
        <v>22000</v>
      </c>
      <c r="CT38" s="25">
        <f t="shared" si="484"/>
        <v>0</v>
      </c>
      <c r="CU38" s="25">
        <f t="shared" si="484"/>
        <v>0</v>
      </c>
      <c r="CV38" s="25">
        <f t="shared" si="484"/>
        <v>0</v>
      </c>
      <c r="CW38" s="25">
        <f t="shared" si="484"/>
        <v>0</v>
      </c>
      <c r="CX38" s="25">
        <f t="shared" si="484"/>
        <v>0</v>
      </c>
      <c r="CY38" s="25">
        <f t="shared" si="484"/>
        <v>22000</v>
      </c>
      <c r="CZ38" s="25">
        <f t="shared" si="484"/>
        <v>0</v>
      </c>
      <c r="DA38" s="25">
        <f t="shared" si="497"/>
        <v>47000</v>
      </c>
      <c r="DB38" s="10"/>
      <c r="DC38" s="25">
        <f t="shared" si="486"/>
        <v>1666.6666666666665</v>
      </c>
      <c r="DD38" s="25">
        <f t="shared" si="486"/>
        <v>1666.6666666666665</v>
      </c>
      <c r="DE38" s="25">
        <f t="shared" si="486"/>
        <v>1666.6666666666665</v>
      </c>
      <c r="DF38" s="25">
        <f t="shared" si="486"/>
        <v>1666.6666666666665</v>
      </c>
      <c r="DG38" s="25">
        <f t="shared" si="486"/>
        <v>1666.6666666666665</v>
      </c>
      <c r="DH38" s="25">
        <f t="shared" si="486"/>
        <v>1666.6666666666665</v>
      </c>
      <c r="DI38" s="25">
        <f t="shared" si="486"/>
        <v>1666.6666666666665</v>
      </c>
      <c r="DJ38" s="25">
        <f t="shared" si="486"/>
        <v>1666.6666666666665</v>
      </c>
      <c r="DK38" s="25">
        <f t="shared" si="486"/>
        <v>1666.6666666666665</v>
      </c>
      <c r="DL38" s="25">
        <f t="shared" si="486"/>
        <v>1666.6666666666665</v>
      </c>
      <c r="DM38" s="25">
        <f t="shared" si="486"/>
        <v>1666.6666666666665</v>
      </c>
      <c r="DN38" s="25">
        <f t="shared" si="486"/>
        <v>1666.6666666666665</v>
      </c>
      <c r="DO38" s="25">
        <f t="shared" si="498"/>
        <v>20000</v>
      </c>
      <c r="DP38" s="10"/>
      <c r="DQ38" s="25">
        <f t="shared" si="488"/>
        <v>0</v>
      </c>
      <c r="DR38" s="25">
        <f t="shared" si="488"/>
        <v>0</v>
      </c>
      <c r="DS38" s="25">
        <f t="shared" si="488"/>
        <v>0</v>
      </c>
      <c r="DT38" s="25">
        <f t="shared" si="488"/>
        <v>0</v>
      </c>
      <c r="DU38" s="25">
        <f t="shared" si="488"/>
        <v>0</v>
      </c>
      <c r="DV38" s="25">
        <f t="shared" si="488"/>
        <v>0</v>
      </c>
      <c r="DW38" s="25">
        <f t="shared" si="488"/>
        <v>0</v>
      </c>
      <c r="DX38" s="25">
        <f t="shared" si="488"/>
        <v>0</v>
      </c>
      <c r="DY38" s="25">
        <f t="shared" si="488"/>
        <v>0</v>
      </c>
      <c r="DZ38" s="25">
        <f t="shared" si="488"/>
        <v>0</v>
      </c>
      <c r="EA38" s="25">
        <f t="shared" si="488"/>
        <v>0</v>
      </c>
      <c r="EB38" s="25">
        <f t="shared" si="488"/>
        <v>0</v>
      </c>
      <c r="EC38" s="25">
        <f t="shared" si="499"/>
        <v>0</v>
      </c>
      <c r="ED38" s="10"/>
      <c r="EE38" s="25">
        <f t="shared" si="490"/>
        <v>221290.85000000003</v>
      </c>
      <c r="EF38" s="25">
        <f t="shared" si="490"/>
        <v>220740.85000000003</v>
      </c>
      <c r="EG38" s="25">
        <f t="shared" si="490"/>
        <v>221015.85000000003</v>
      </c>
      <c r="EH38" s="25">
        <f t="shared" si="490"/>
        <v>220740.85000000003</v>
      </c>
      <c r="EI38" s="25">
        <f t="shared" si="490"/>
        <v>221015.85000000003</v>
      </c>
      <c r="EJ38" s="25">
        <f t="shared" si="490"/>
        <v>221015.85000000003</v>
      </c>
      <c r="EK38" s="25">
        <f t="shared" si="490"/>
        <v>220740.85000000003</v>
      </c>
      <c r="EL38" s="25">
        <f t="shared" si="490"/>
        <v>221565.85000000003</v>
      </c>
      <c r="EM38" s="25">
        <f t="shared" si="490"/>
        <v>220465.85000000003</v>
      </c>
      <c r="EN38" s="25">
        <f t="shared" si="490"/>
        <v>221565.85000000003</v>
      </c>
      <c r="EO38" s="25">
        <f t="shared" si="490"/>
        <v>221290.85000000003</v>
      </c>
      <c r="EP38" s="25">
        <f t="shared" si="490"/>
        <v>220190.85000000003</v>
      </c>
      <c r="EQ38" s="25">
        <f t="shared" si="500"/>
        <v>2651640.2000000007</v>
      </c>
      <c r="ER38" s="10"/>
    </row>
    <row r="39" spans="1:149" s="21" customFormat="1" ht="18.95" customHeight="1" outlineLevel="1">
      <c r="A39" s="21">
        <f t="shared" si="469"/>
        <v>0</v>
      </c>
      <c r="B39" s="21">
        <f t="shared" si="470"/>
        <v>0</v>
      </c>
      <c r="C39" s="21">
        <f t="shared" si="471"/>
        <v>0</v>
      </c>
      <c r="D39" s="21">
        <f t="shared" si="472"/>
        <v>0</v>
      </c>
      <c r="E39" s="21">
        <f t="shared" si="473"/>
        <v>0</v>
      </c>
      <c r="F39" s="22">
        <v>6800</v>
      </c>
      <c r="G39" s="229" t="s">
        <v>135</v>
      </c>
      <c r="H39" s="23"/>
      <c r="I39" s="229"/>
      <c r="J39" s="23"/>
      <c r="K39" s="23"/>
      <c r="L39" s="23"/>
      <c r="M39" s="24"/>
      <c r="N39" s="25"/>
      <c r="O39" s="25"/>
      <c r="P39" s="126"/>
      <c r="Q39" s="126"/>
      <c r="R39" s="126"/>
      <c r="S39" s="129"/>
      <c r="T39" s="35"/>
      <c r="U39" s="25"/>
      <c r="V39" s="25"/>
      <c r="W39" s="25">
        <f t="shared" si="474"/>
        <v>0</v>
      </c>
      <c r="X39" s="25">
        <f t="shared" si="474"/>
        <v>0</v>
      </c>
      <c r="Y39" s="25">
        <f t="shared" si="474"/>
        <v>0</v>
      </c>
      <c r="Z39" s="25">
        <f t="shared" si="474"/>
        <v>0</v>
      </c>
      <c r="AA39" s="25">
        <f t="shared" si="474"/>
        <v>0</v>
      </c>
      <c r="AB39" s="25">
        <f t="shared" si="474"/>
        <v>0</v>
      </c>
      <c r="AC39" s="25">
        <f t="shared" si="474"/>
        <v>0</v>
      </c>
      <c r="AD39" s="25">
        <f t="shared" si="474"/>
        <v>0</v>
      </c>
      <c r="AE39" s="25">
        <f t="shared" si="474"/>
        <v>0</v>
      </c>
      <c r="AF39" s="25">
        <f t="shared" si="474"/>
        <v>0</v>
      </c>
      <c r="AG39" s="25">
        <f t="shared" si="474"/>
        <v>0</v>
      </c>
      <c r="AH39" s="25">
        <f t="shared" si="474"/>
        <v>0</v>
      </c>
      <c r="AI39" s="25">
        <f t="shared" si="492"/>
        <v>0</v>
      </c>
      <c r="AJ39" s="10"/>
      <c r="AK39" s="25">
        <f t="shared" si="476"/>
        <v>0</v>
      </c>
      <c r="AL39" s="25">
        <f t="shared" si="476"/>
        <v>0</v>
      </c>
      <c r="AM39" s="25">
        <f t="shared" si="476"/>
        <v>0</v>
      </c>
      <c r="AN39" s="25">
        <f t="shared" si="476"/>
        <v>0</v>
      </c>
      <c r="AO39" s="25">
        <f t="shared" si="476"/>
        <v>0</v>
      </c>
      <c r="AP39" s="25">
        <f t="shared" si="476"/>
        <v>0</v>
      </c>
      <c r="AQ39" s="25">
        <f t="shared" si="476"/>
        <v>0</v>
      </c>
      <c r="AR39" s="25">
        <f t="shared" si="476"/>
        <v>0</v>
      </c>
      <c r="AS39" s="25">
        <f t="shared" si="476"/>
        <v>0</v>
      </c>
      <c r="AT39" s="25">
        <f t="shared" si="476"/>
        <v>0</v>
      </c>
      <c r="AU39" s="25">
        <f t="shared" si="476"/>
        <v>0</v>
      </c>
      <c r="AV39" s="25">
        <f t="shared" si="476"/>
        <v>0</v>
      </c>
      <c r="AW39" s="25">
        <f t="shared" si="493"/>
        <v>0</v>
      </c>
      <c r="AX39" s="10"/>
      <c r="AY39" s="25">
        <f t="shared" si="478"/>
        <v>0</v>
      </c>
      <c r="AZ39" s="25">
        <f t="shared" si="478"/>
        <v>0</v>
      </c>
      <c r="BA39" s="25">
        <f t="shared" si="478"/>
        <v>0</v>
      </c>
      <c r="BB39" s="25">
        <f t="shared" si="478"/>
        <v>0</v>
      </c>
      <c r="BC39" s="25">
        <f t="shared" si="478"/>
        <v>0</v>
      </c>
      <c r="BD39" s="25">
        <f t="shared" si="478"/>
        <v>0</v>
      </c>
      <c r="BE39" s="25">
        <f t="shared" si="478"/>
        <v>0</v>
      </c>
      <c r="BF39" s="25">
        <f t="shared" si="478"/>
        <v>0</v>
      </c>
      <c r="BG39" s="25">
        <f t="shared" si="478"/>
        <v>0</v>
      </c>
      <c r="BH39" s="25">
        <f t="shared" si="478"/>
        <v>0</v>
      </c>
      <c r="BI39" s="25">
        <f t="shared" si="478"/>
        <v>0</v>
      </c>
      <c r="BJ39" s="25">
        <f t="shared" si="478"/>
        <v>0</v>
      </c>
      <c r="BK39" s="25">
        <f t="shared" si="494"/>
        <v>0</v>
      </c>
      <c r="BL39" s="10"/>
      <c r="BM39" s="25">
        <f t="shared" si="480"/>
        <v>0</v>
      </c>
      <c r="BN39" s="25">
        <f t="shared" si="480"/>
        <v>0</v>
      </c>
      <c r="BO39" s="25">
        <f t="shared" si="480"/>
        <v>0</v>
      </c>
      <c r="BP39" s="25">
        <f t="shared" si="480"/>
        <v>0</v>
      </c>
      <c r="BQ39" s="25">
        <f t="shared" si="480"/>
        <v>0</v>
      </c>
      <c r="BR39" s="25">
        <f t="shared" si="480"/>
        <v>0</v>
      </c>
      <c r="BS39" s="25">
        <f t="shared" si="480"/>
        <v>0</v>
      </c>
      <c r="BT39" s="25">
        <f t="shared" si="480"/>
        <v>0</v>
      </c>
      <c r="BU39" s="25">
        <f t="shared" si="480"/>
        <v>0</v>
      </c>
      <c r="BV39" s="25">
        <f t="shared" si="480"/>
        <v>0</v>
      </c>
      <c r="BW39" s="25">
        <f t="shared" si="480"/>
        <v>0</v>
      </c>
      <c r="BX39" s="25">
        <f t="shared" si="480"/>
        <v>0</v>
      </c>
      <c r="BY39" s="25">
        <f t="shared" si="495"/>
        <v>0</v>
      </c>
      <c r="BZ39" s="10"/>
      <c r="CA39" s="25">
        <f t="shared" si="482"/>
        <v>0</v>
      </c>
      <c r="CB39" s="25">
        <f t="shared" si="482"/>
        <v>0</v>
      </c>
      <c r="CC39" s="25">
        <f t="shared" si="482"/>
        <v>0</v>
      </c>
      <c r="CD39" s="25">
        <f t="shared" si="482"/>
        <v>0</v>
      </c>
      <c r="CE39" s="25">
        <f t="shared" si="482"/>
        <v>0</v>
      </c>
      <c r="CF39" s="25">
        <f t="shared" si="482"/>
        <v>0</v>
      </c>
      <c r="CG39" s="25">
        <f t="shared" si="482"/>
        <v>0</v>
      </c>
      <c r="CH39" s="25">
        <f t="shared" si="482"/>
        <v>0</v>
      </c>
      <c r="CI39" s="25">
        <f t="shared" si="482"/>
        <v>0</v>
      </c>
      <c r="CJ39" s="25">
        <f t="shared" si="482"/>
        <v>0</v>
      </c>
      <c r="CK39" s="25">
        <f t="shared" si="482"/>
        <v>0</v>
      </c>
      <c r="CL39" s="25">
        <f t="shared" si="482"/>
        <v>0</v>
      </c>
      <c r="CM39" s="25">
        <f t="shared" si="496"/>
        <v>0</v>
      </c>
      <c r="CN39" s="10"/>
      <c r="CO39" s="25">
        <f t="shared" si="484"/>
        <v>0</v>
      </c>
      <c r="CP39" s="25">
        <f t="shared" si="484"/>
        <v>0</v>
      </c>
      <c r="CQ39" s="25">
        <f t="shared" si="484"/>
        <v>0</v>
      </c>
      <c r="CR39" s="25">
        <f t="shared" si="484"/>
        <v>0</v>
      </c>
      <c r="CS39" s="25">
        <f t="shared" si="484"/>
        <v>0</v>
      </c>
      <c r="CT39" s="25">
        <f t="shared" si="484"/>
        <v>0</v>
      </c>
      <c r="CU39" s="25">
        <f t="shared" si="484"/>
        <v>0</v>
      </c>
      <c r="CV39" s="25">
        <f t="shared" si="484"/>
        <v>0</v>
      </c>
      <c r="CW39" s="25">
        <f t="shared" si="484"/>
        <v>0</v>
      </c>
      <c r="CX39" s="25">
        <f t="shared" si="484"/>
        <v>0</v>
      </c>
      <c r="CY39" s="25">
        <f t="shared" si="484"/>
        <v>0</v>
      </c>
      <c r="CZ39" s="25">
        <f t="shared" si="484"/>
        <v>0</v>
      </c>
      <c r="DA39" s="25">
        <f t="shared" si="497"/>
        <v>0</v>
      </c>
      <c r="DB39" s="10"/>
      <c r="DC39" s="25">
        <f t="shared" si="486"/>
        <v>0</v>
      </c>
      <c r="DD39" s="25">
        <f t="shared" si="486"/>
        <v>0</v>
      </c>
      <c r="DE39" s="25">
        <f t="shared" si="486"/>
        <v>0</v>
      </c>
      <c r="DF39" s="25">
        <f t="shared" si="486"/>
        <v>0</v>
      </c>
      <c r="DG39" s="25">
        <f t="shared" si="486"/>
        <v>0</v>
      </c>
      <c r="DH39" s="25">
        <f t="shared" si="486"/>
        <v>0</v>
      </c>
      <c r="DI39" s="25">
        <f t="shared" si="486"/>
        <v>0</v>
      </c>
      <c r="DJ39" s="25">
        <f t="shared" si="486"/>
        <v>0</v>
      </c>
      <c r="DK39" s="25">
        <f t="shared" si="486"/>
        <v>0</v>
      </c>
      <c r="DL39" s="25">
        <f t="shared" si="486"/>
        <v>0</v>
      </c>
      <c r="DM39" s="25">
        <f t="shared" si="486"/>
        <v>0</v>
      </c>
      <c r="DN39" s="25">
        <f t="shared" si="486"/>
        <v>0</v>
      </c>
      <c r="DO39" s="25">
        <f t="shared" si="498"/>
        <v>0</v>
      </c>
      <c r="DP39" s="10"/>
      <c r="DQ39" s="25">
        <f t="shared" si="488"/>
        <v>0</v>
      </c>
      <c r="DR39" s="25">
        <f t="shared" si="488"/>
        <v>0</v>
      </c>
      <c r="DS39" s="25">
        <f t="shared" si="488"/>
        <v>0</v>
      </c>
      <c r="DT39" s="25">
        <f t="shared" si="488"/>
        <v>0</v>
      </c>
      <c r="DU39" s="25">
        <f t="shared" si="488"/>
        <v>0</v>
      </c>
      <c r="DV39" s="25">
        <f t="shared" si="488"/>
        <v>0</v>
      </c>
      <c r="DW39" s="25">
        <f t="shared" si="488"/>
        <v>0</v>
      </c>
      <c r="DX39" s="25">
        <f t="shared" si="488"/>
        <v>0</v>
      </c>
      <c r="DY39" s="25">
        <f t="shared" si="488"/>
        <v>0</v>
      </c>
      <c r="DZ39" s="25">
        <f t="shared" si="488"/>
        <v>0</v>
      </c>
      <c r="EA39" s="25">
        <f t="shared" si="488"/>
        <v>0</v>
      </c>
      <c r="EB39" s="25">
        <f t="shared" si="488"/>
        <v>0</v>
      </c>
      <c r="EC39" s="25">
        <f t="shared" si="499"/>
        <v>0</v>
      </c>
      <c r="ED39" s="10"/>
      <c r="EE39" s="25">
        <f t="shared" si="490"/>
        <v>0</v>
      </c>
      <c r="EF39" s="25">
        <f t="shared" si="490"/>
        <v>0</v>
      </c>
      <c r="EG39" s="25">
        <f t="shared" si="490"/>
        <v>0</v>
      </c>
      <c r="EH39" s="25">
        <f t="shared" si="490"/>
        <v>0</v>
      </c>
      <c r="EI39" s="25">
        <f t="shared" si="490"/>
        <v>0</v>
      </c>
      <c r="EJ39" s="25">
        <f t="shared" si="490"/>
        <v>0</v>
      </c>
      <c r="EK39" s="25">
        <f t="shared" si="490"/>
        <v>0</v>
      </c>
      <c r="EL39" s="25">
        <f t="shared" si="490"/>
        <v>0</v>
      </c>
      <c r="EM39" s="25">
        <f t="shared" si="490"/>
        <v>0</v>
      </c>
      <c r="EN39" s="25">
        <f t="shared" si="490"/>
        <v>0</v>
      </c>
      <c r="EO39" s="25">
        <f t="shared" si="490"/>
        <v>0</v>
      </c>
      <c r="EP39" s="25">
        <f t="shared" si="490"/>
        <v>0</v>
      </c>
      <c r="EQ39" s="25">
        <f t="shared" si="500"/>
        <v>0</v>
      </c>
      <c r="ER39" s="10"/>
    </row>
    <row r="40" spans="1:149" s="21" customFormat="1" ht="18.95" customHeight="1" outlineLevel="1">
      <c r="A40" s="21">
        <f t="shared" si="469"/>
        <v>0</v>
      </c>
      <c r="B40" s="21">
        <f t="shared" si="470"/>
        <v>0</v>
      </c>
      <c r="C40" s="21">
        <f t="shared" si="471"/>
        <v>0</v>
      </c>
      <c r="D40" s="21">
        <f t="shared" si="472"/>
        <v>0</v>
      </c>
      <c r="E40" s="21">
        <f t="shared" si="473"/>
        <v>0</v>
      </c>
      <c r="F40" s="22">
        <v>7200</v>
      </c>
      <c r="G40" s="229" t="s">
        <v>209</v>
      </c>
      <c r="H40" s="23"/>
      <c r="I40" s="229"/>
      <c r="J40" s="23"/>
      <c r="K40" s="23"/>
      <c r="L40" s="23"/>
      <c r="M40" s="24"/>
      <c r="N40" s="25"/>
      <c r="O40" s="25"/>
      <c r="P40" s="126"/>
      <c r="Q40" s="126"/>
      <c r="R40" s="126"/>
      <c r="S40" s="129"/>
      <c r="T40" s="35"/>
      <c r="U40" s="25"/>
      <c r="V40" s="25"/>
      <c r="W40" s="25">
        <f t="shared" si="474"/>
        <v>0</v>
      </c>
      <c r="X40" s="25">
        <f t="shared" si="474"/>
        <v>0</v>
      </c>
      <c r="Y40" s="25">
        <f t="shared" si="474"/>
        <v>0</v>
      </c>
      <c r="Z40" s="25">
        <f t="shared" si="474"/>
        <v>0</v>
      </c>
      <c r="AA40" s="25">
        <f t="shared" si="474"/>
        <v>0</v>
      </c>
      <c r="AB40" s="25">
        <f t="shared" si="474"/>
        <v>0</v>
      </c>
      <c r="AC40" s="25">
        <f t="shared" si="474"/>
        <v>0</v>
      </c>
      <c r="AD40" s="25">
        <f t="shared" si="474"/>
        <v>0</v>
      </c>
      <c r="AE40" s="25">
        <f t="shared" si="474"/>
        <v>0</v>
      </c>
      <c r="AF40" s="25">
        <f t="shared" si="474"/>
        <v>0</v>
      </c>
      <c r="AG40" s="25">
        <f t="shared" si="474"/>
        <v>0</v>
      </c>
      <c r="AH40" s="25">
        <f t="shared" si="474"/>
        <v>0</v>
      </c>
      <c r="AI40" s="25">
        <f t="shared" si="492"/>
        <v>0</v>
      </c>
      <c r="AJ40" s="10"/>
      <c r="AK40" s="25">
        <f t="shared" si="476"/>
        <v>0</v>
      </c>
      <c r="AL40" s="25">
        <f t="shared" si="476"/>
        <v>0</v>
      </c>
      <c r="AM40" s="25">
        <f t="shared" si="476"/>
        <v>0</v>
      </c>
      <c r="AN40" s="25">
        <f t="shared" si="476"/>
        <v>0</v>
      </c>
      <c r="AO40" s="25">
        <f t="shared" si="476"/>
        <v>0</v>
      </c>
      <c r="AP40" s="25">
        <f t="shared" si="476"/>
        <v>0</v>
      </c>
      <c r="AQ40" s="25">
        <f t="shared" si="476"/>
        <v>0</v>
      </c>
      <c r="AR40" s="25">
        <f t="shared" si="476"/>
        <v>0</v>
      </c>
      <c r="AS40" s="25">
        <f t="shared" si="476"/>
        <v>0</v>
      </c>
      <c r="AT40" s="25">
        <f t="shared" si="476"/>
        <v>0</v>
      </c>
      <c r="AU40" s="25">
        <f t="shared" si="476"/>
        <v>0</v>
      </c>
      <c r="AV40" s="25">
        <f t="shared" si="476"/>
        <v>0</v>
      </c>
      <c r="AW40" s="25">
        <f t="shared" si="493"/>
        <v>0</v>
      </c>
      <c r="AX40" s="10"/>
      <c r="AY40" s="25">
        <f t="shared" si="478"/>
        <v>0</v>
      </c>
      <c r="AZ40" s="25">
        <f t="shared" si="478"/>
        <v>0</v>
      </c>
      <c r="BA40" s="25">
        <f t="shared" si="478"/>
        <v>0</v>
      </c>
      <c r="BB40" s="25">
        <f t="shared" si="478"/>
        <v>0</v>
      </c>
      <c r="BC40" s="25">
        <f t="shared" si="478"/>
        <v>0</v>
      </c>
      <c r="BD40" s="25">
        <f t="shared" si="478"/>
        <v>0</v>
      </c>
      <c r="BE40" s="25">
        <f t="shared" si="478"/>
        <v>0</v>
      </c>
      <c r="BF40" s="25">
        <f t="shared" si="478"/>
        <v>0</v>
      </c>
      <c r="BG40" s="25">
        <f t="shared" si="478"/>
        <v>0</v>
      </c>
      <c r="BH40" s="25">
        <f t="shared" si="478"/>
        <v>0</v>
      </c>
      <c r="BI40" s="25">
        <f t="shared" si="478"/>
        <v>0</v>
      </c>
      <c r="BJ40" s="25">
        <f t="shared" si="478"/>
        <v>0</v>
      </c>
      <c r="BK40" s="25">
        <f t="shared" si="494"/>
        <v>0</v>
      </c>
      <c r="BL40" s="10"/>
      <c r="BM40" s="25">
        <f t="shared" si="480"/>
        <v>0</v>
      </c>
      <c r="BN40" s="25">
        <f t="shared" si="480"/>
        <v>0</v>
      </c>
      <c r="BO40" s="25">
        <f t="shared" si="480"/>
        <v>0</v>
      </c>
      <c r="BP40" s="25">
        <f t="shared" si="480"/>
        <v>0</v>
      </c>
      <c r="BQ40" s="25">
        <f t="shared" si="480"/>
        <v>0</v>
      </c>
      <c r="BR40" s="25">
        <f t="shared" si="480"/>
        <v>0</v>
      </c>
      <c r="BS40" s="25">
        <f t="shared" si="480"/>
        <v>0</v>
      </c>
      <c r="BT40" s="25">
        <f t="shared" si="480"/>
        <v>0</v>
      </c>
      <c r="BU40" s="25">
        <f t="shared" si="480"/>
        <v>0</v>
      </c>
      <c r="BV40" s="25">
        <f t="shared" si="480"/>
        <v>0</v>
      </c>
      <c r="BW40" s="25">
        <f t="shared" si="480"/>
        <v>0</v>
      </c>
      <c r="BX40" s="25">
        <f t="shared" si="480"/>
        <v>0</v>
      </c>
      <c r="BY40" s="25">
        <f t="shared" si="495"/>
        <v>0</v>
      </c>
      <c r="BZ40" s="10"/>
      <c r="CA40" s="25">
        <f t="shared" si="482"/>
        <v>0</v>
      </c>
      <c r="CB40" s="25">
        <f t="shared" si="482"/>
        <v>0</v>
      </c>
      <c r="CC40" s="25">
        <f t="shared" si="482"/>
        <v>0</v>
      </c>
      <c r="CD40" s="25">
        <f t="shared" si="482"/>
        <v>0</v>
      </c>
      <c r="CE40" s="25">
        <f t="shared" si="482"/>
        <v>0</v>
      </c>
      <c r="CF40" s="25">
        <f t="shared" si="482"/>
        <v>0</v>
      </c>
      <c r="CG40" s="25">
        <f t="shared" si="482"/>
        <v>0</v>
      </c>
      <c r="CH40" s="25">
        <f t="shared" si="482"/>
        <v>0</v>
      </c>
      <c r="CI40" s="25">
        <f t="shared" si="482"/>
        <v>0</v>
      </c>
      <c r="CJ40" s="25">
        <f t="shared" si="482"/>
        <v>0</v>
      </c>
      <c r="CK40" s="25">
        <f t="shared" si="482"/>
        <v>0</v>
      </c>
      <c r="CL40" s="25">
        <f t="shared" si="482"/>
        <v>0</v>
      </c>
      <c r="CM40" s="25">
        <f t="shared" si="496"/>
        <v>0</v>
      </c>
      <c r="CN40" s="10"/>
      <c r="CO40" s="25">
        <f t="shared" si="484"/>
        <v>0</v>
      </c>
      <c r="CP40" s="25">
        <f t="shared" si="484"/>
        <v>0</v>
      </c>
      <c r="CQ40" s="25">
        <f t="shared" si="484"/>
        <v>0</v>
      </c>
      <c r="CR40" s="25">
        <f t="shared" si="484"/>
        <v>0</v>
      </c>
      <c r="CS40" s="25">
        <f t="shared" si="484"/>
        <v>0</v>
      </c>
      <c r="CT40" s="25">
        <f t="shared" si="484"/>
        <v>0</v>
      </c>
      <c r="CU40" s="25">
        <f t="shared" si="484"/>
        <v>0</v>
      </c>
      <c r="CV40" s="25">
        <f t="shared" si="484"/>
        <v>0</v>
      </c>
      <c r="CW40" s="25">
        <f t="shared" si="484"/>
        <v>0</v>
      </c>
      <c r="CX40" s="25">
        <f t="shared" si="484"/>
        <v>0</v>
      </c>
      <c r="CY40" s="25">
        <f t="shared" si="484"/>
        <v>0</v>
      </c>
      <c r="CZ40" s="25">
        <f t="shared" si="484"/>
        <v>0</v>
      </c>
      <c r="DA40" s="25">
        <f t="shared" si="497"/>
        <v>0</v>
      </c>
      <c r="DB40" s="10"/>
      <c r="DC40" s="25">
        <f t="shared" si="486"/>
        <v>0</v>
      </c>
      <c r="DD40" s="25">
        <f t="shared" si="486"/>
        <v>0</v>
      </c>
      <c r="DE40" s="25">
        <f t="shared" si="486"/>
        <v>0</v>
      </c>
      <c r="DF40" s="25">
        <f t="shared" si="486"/>
        <v>0</v>
      </c>
      <c r="DG40" s="25">
        <f t="shared" si="486"/>
        <v>0</v>
      </c>
      <c r="DH40" s="25">
        <f t="shared" si="486"/>
        <v>0</v>
      </c>
      <c r="DI40" s="25">
        <f t="shared" si="486"/>
        <v>0</v>
      </c>
      <c r="DJ40" s="25">
        <f t="shared" si="486"/>
        <v>0</v>
      </c>
      <c r="DK40" s="25">
        <f t="shared" si="486"/>
        <v>0</v>
      </c>
      <c r="DL40" s="25">
        <f t="shared" si="486"/>
        <v>0</v>
      </c>
      <c r="DM40" s="25">
        <f t="shared" si="486"/>
        <v>0</v>
      </c>
      <c r="DN40" s="25">
        <f t="shared" si="486"/>
        <v>0</v>
      </c>
      <c r="DO40" s="25">
        <f t="shared" si="498"/>
        <v>0</v>
      </c>
      <c r="DP40" s="10"/>
      <c r="DQ40" s="25">
        <f t="shared" si="488"/>
        <v>0</v>
      </c>
      <c r="DR40" s="25">
        <f t="shared" si="488"/>
        <v>0</v>
      </c>
      <c r="DS40" s="25">
        <f t="shared" si="488"/>
        <v>0</v>
      </c>
      <c r="DT40" s="25">
        <f t="shared" si="488"/>
        <v>0</v>
      </c>
      <c r="DU40" s="25">
        <f t="shared" si="488"/>
        <v>0</v>
      </c>
      <c r="DV40" s="25">
        <f t="shared" si="488"/>
        <v>0</v>
      </c>
      <c r="DW40" s="25">
        <f t="shared" si="488"/>
        <v>0</v>
      </c>
      <c r="DX40" s="25">
        <f t="shared" si="488"/>
        <v>0</v>
      </c>
      <c r="DY40" s="25">
        <f t="shared" si="488"/>
        <v>0</v>
      </c>
      <c r="DZ40" s="25">
        <f t="shared" si="488"/>
        <v>0</v>
      </c>
      <c r="EA40" s="25">
        <f t="shared" si="488"/>
        <v>0</v>
      </c>
      <c r="EB40" s="25">
        <f t="shared" si="488"/>
        <v>0</v>
      </c>
      <c r="EC40" s="25">
        <f t="shared" si="499"/>
        <v>0</v>
      </c>
      <c r="ED40" s="10"/>
      <c r="EE40" s="25">
        <f t="shared" si="490"/>
        <v>0</v>
      </c>
      <c r="EF40" s="25">
        <f t="shared" si="490"/>
        <v>0</v>
      </c>
      <c r="EG40" s="25">
        <f t="shared" si="490"/>
        <v>0</v>
      </c>
      <c r="EH40" s="25">
        <f t="shared" si="490"/>
        <v>0</v>
      </c>
      <c r="EI40" s="25">
        <f t="shared" si="490"/>
        <v>0</v>
      </c>
      <c r="EJ40" s="25">
        <f t="shared" si="490"/>
        <v>0</v>
      </c>
      <c r="EK40" s="25">
        <f t="shared" si="490"/>
        <v>0</v>
      </c>
      <c r="EL40" s="25">
        <f t="shared" si="490"/>
        <v>0</v>
      </c>
      <c r="EM40" s="25">
        <f t="shared" si="490"/>
        <v>0</v>
      </c>
      <c r="EN40" s="25">
        <f t="shared" si="490"/>
        <v>0</v>
      </c>
      <c r="EO40" s="25">
        <f t="shared" si="490"/>
        <v>0</v>
      </c>
      <c r="EP40" s="25">
        <f t="shared" si="490"/>
        <v>0</v>
      </c>
      <c r="EQ40" s="25">
        <f t="shared" si="500"/>
        <v>0</v>
      </c>
      <c r="ER40" s="10"/>
    </row>
    <row r="41" spans="1:149" s="21" customFormat="1" ht="18.95" customHeight="1" outlineLevel="1">
      <c r="A41" s="21">
        <f t="shared" si="469"/>
        <v>725270</v>
      </c>
      <c r="B41" s="21">
        <f t="shared" si="470"/>
        <v>721270</v>
      </c>
      <c r="C41" s="21">
        <f t="shared" si="471"/>
        <v>0</v>
      </c>
      <c r="D41" s="21">
        <f t="shared" si="472"/>
        <v>4000.0000000000005</v>
      </c>
      <c r="E41" s="21">
        <f t="shared" si="473"/>
        <v>0</v>
      </c>
      <c r="F41" s="22">
        <v>7300</v>
      </c>
      <c r="G41" s="229" t="s">
        <v>70</v>
      </c>
      <c r="H41" s="23"/>
      <c r="I41" s="229"/>
      <c r="J41" s="23"/>
      <c r="K41" s="23"/>
      <c r="L41" s="23"/>
      <c r="M41" s="24"/>
      <c r="N41" s="25"/>
      <c r="O41" s="25"/>
      <c r="P41" s="126"/>
      <c r="Q41" s="126"/>
      <c r="R41" s="126"/>
      <c r="S41" s="129"/>
      <c r="T41" s="35"/>
      <c r="U41" s="25"/>
      <c r="V41" s="25"/>
      <c r="W41" s="25">
        <f t="shared" si="474"/>
        <v>40000</v>
      </c>
      <c r="X41" s="25">
        <f t="shared" si="474"/>
        <v>40000</v>
      </c>
      <c r="Y41" s="25">
        <f t="shared" si="474"/>
        <v>40000</v>
      </c>
      <c r="Z41" s="25">
        <f t="shared" si="474"/>
        <v>40000</v>
      </c>
      <c r="AA41" s="25">
        <f t="shared" si="474"/>
        <v>40000</v>
      </c>
      <c r="AB41" s="25">
        <f t="shared" si="474"/>
        <v>40000</v>
      </c>
      <c r="AC41" s="25">
        <f t="shared" si="474"/>
        <v>40000</v>
      </c>
      <c r="AD41" s="25">
        <f t="shared" si="474"/>
        <v>40000</v>
      </c>
      <c r="AE41" s="25">
        <f t="shared" si="474"/>
        <v>40000</v>
      </c>
      <c r="AF41" s="25">
        <f t="shared" si="474"/>
        <v>40000</v>
      </c>
      <c r="AG41" s="25">
        <f t="shared" si="474"/>
        <v>40000</v>
      </c>
      <c r="AH41" s="25">
        <f t="shared" si="474"/>
        <v>40000</v>
      </c>
      <c r="AI41" s="25">
        <f t="shared" si="492"/>
        <v>480000</v>
      </c>
      <c r="AJ41" s="10"/>
      <c r="AK41" s="25">
        <f t="shared" si="476"/>
        <v>4000</v>
      </c>
      <c r="AL41" s="25">
        <f t="shared" si="476"/>
        <v>4000</v>
      </c>
      <c r="AM41" s="25">
        <f t="shared" si="476"/>
        <v>4000</v>
      </c>
      <c r="AN41" s="25">
        <f t="shared" si="476"/>
        <v>4000</v>
      </c>
      <c r="AO41" s="25">
        <f t="shared" si="476"/>
        <v>4000</v>
      </c>
      <c r="AP41" s="25">
        <f t="shared" si="476"/>
        <v>4000</v>
      </c>
      <c r="AQ41" s="25">
        <f t="shared" si="476"/>
        <v>4000</v>
      </c>
      <c r="AR41" s="25">
        <f t="shared" si="476"/>
        <v>4000</v>
      </c>
      <c r="AS41" s="25">
        <f t="shared" si="476"/>
        <v>4000</v>
      </c>
      <c r="AT41" s="25">
        <f t="shared" si="476"/>
        <v>4000</v>
      </c>
      <c r="AU41" s="25">
        <f t="shared" si="476"/>
        <v>4000</v>
      </c>
      <c r="AV41" s="25">
        <f t="shared" si="476"/>
        <v>4000</v>
      </c>
      <c r="AW41" s="25">
        <f t="shared" si="493"/>
        <v>48000</v>
      </c>
      <c r="AX41" s="10"/>
      <c r="AY41" s="25">
        <f t="shared" si="478"/>
        <v>1210</v>
      </c>
      <c r="AZ41" s="25">
        <f t="shared" si="478"/>
        <v>1100</v>
      </c>
      <c r="BA41" s="25">
        <f t="shared" si="478"/>
        <v>1155</v>
      </c>
      <c r="BB41" s="25">
        <f t="shared" si="478"/>
        <v>1100</v>
      </c>
      <c r="BC41" s="25">
        <f t="shared" si="478"/>
        <v>1155</v>
      </c>
      <c r="BD41" s="25">
        <f t="shared" si="478"/>
        <v>1155</v>
      </c>
      <c r="BE41" s="25">
        <f t="shared" si="478"/>
        <v>1100</v>
      </c>
      <c r="BF41" s="25">
        <f t="shared" si="478"/>
        <v>1265</v>
      </c>
      <c r="BG41" s="25">
        <f t="shared" si="478"/>
        <v>1045</v>
      </c>
      <c r="BH41" s="25">
        <f t="shared" si="478"/>
        <v>1265</v>
      </c>
      <c r="BI41" s="25">
        <f t="shared" si="478"/>
        <v>1210</v>
      </c>
      <c r="BJ41" s="25">
        <f t="shared" si="478"/>
        <v>990</v>
      </c>
      <c r="BK41" s="25">
        <f t="shared" si="494"/>
        <v>13750</v>
      </c>
      <c r="BL41" s="10"/>
      <c r="BM41" s="25">
        <f t="shared" si="480"/>
        <v>11000</v>
      </c>
      <c r="BN41" s="25">
        <f t="shared" si="480"/>
        <v>11000</v>
      </c>
      <c r="BO41" s="25">
        <f t="shared" si="480"/>
        <v>11000</v>
      </c>
      <c r="BP41" s="25">
        <f t="shared" si="480"/>
        <v>11000</v>
      </c>
      <c r="BQ41" s="25">
        <f t="shared" si="480"/>
        <v>11000</v>
      </c>
      <c r="BR41" s="25">
        <f t="shared" si="480"/>
        <v>11000</v>
      </c>
      <c r="BS41" s="25">
        <f t="shared" si="480"/>
        <v>11000</v>
      </c>
      <c r="BT41" s="25">
        <f t="shared" si="480"/>
        <v>11000</v>
      </c>
      <c r="BU41" s="25">
        <f t="shared" si="480"/>
        <v>11000</v>
      </c>
      <c r="BV41" s="25">
        <f t="shared" si="480"/>
        <v>11000</v>
      </c>
      <c r="BW41" s="25">
        <f t="shared" si="480"/>
        <v>11000</v>
      </c>
      <c r="BX41" s="25">
        <f t="shared" si="480"/>
        <v>11000</v>
      </c>
      <c r="BY41" s="25">
        <f t="shared" si="495"/>
        <v>132000</v>
      </c>
      <c r="BZ41" s="10"/>
      <c r="CA41" s="25">
        <f t="shared" si="482"/>
        <v>3960</v>
      </c>
      <c r="CB41" s="25">
        <f t="shared" si="482"/>
        <v>3960</v>
      </c>
      <c r="CC41" s="25">
        <f t="shared" si="482"/>
        <v>3960</v>
      </c>
      <c r="CD41" s="25">
        <f t="shared" si="482"/>
        <v>3960</v>
      </c>
      <c r="CE41" s="25">
        <f t="shared" si="482"/>
        <v>3960</v>
      </c>
      <c r="CF41" s="25">
        <f t="shared" si="482"/>
        <v>3960</v>
      </c>
      <c r="CG41" s="25">
        <f t="shared" si="482"/>
        <v>3960</v>
      </c>
      <c r="CH41" s="25">
        <f t="shared" si="482"/>
        <v>3960</v>
      </c>
      <c r="CI41" s="25">
        <f t="shared" si="482"/>
        <v>3960</v>
      </c>
      <c r="CJ41" s="25">
        <f t="shared" si="482"/>
        <v>3960</v>
      </c>
      <c r="CK41" s="25">
        <f t="shared" si="482"/>
        <v>3960</v>
      </c>
      <c r="CL41" s="25">
        <f t="shared" si="482"/>
        <v>3960</v>
      </c>
      <c r="CM41" s="25">
        <f t="shared" si="496"/>
        <v>47520</v>
      </c>
      <c r="CN41" s="10"/>
      <c r="CO41" s="25">
        <f t="shared" si="484"/>
        <v>0</v>
      </c>
      <c r="CP41" s="25">
        <f t="shared" si="484"/>
        <v>0</v>
      </c>
      <c r="CQ41" s="25">
        <f t="shared" si="484"/>
        <v>0</v>
      </c>
      <c r="CR41" s="25">
        <f t="shared" si="484"/>
        <v>0</v>
      </c>
      <c r="CS41" s="25">
        <f t="shared" si="484"/>
        <v>0</v>
      </c>
      <c r="CT41" s="25">
        <f t="shared" si="484"/>
        <v>0</v>
      </c>
      <c r="CU41" s="25">
        <f t="shared" si="484"/>
        <v>0</v>
      </c>
      <c r="CV41" s="25">
        <f t="shared" si="484"/>
        <v>0</v>
      </c>
      <c r="CW41" s="25">
        <f t="shared" si="484"/>
        <v>0</v>
      </c>
      <c r="CX41" s="25">
        <f t="shared" si="484"/>
        <v>0</v>
      </c>
      <c r="CY41" s="25">
        <f t="shared" si="484"/>
        <v>0</v>
      </c>
      <c r="CZ41" s="25">
        <f t="shared" si="484"/>
        <v>0</v>
      </c>
      <c r="DA41" s="25">
        <f t="shared" si="497"/>
        <v>0</v>
      </c>
      <c r="DB41" s="10"/>
      <c r="DC41" s="25">
        <f t="shared" si="486"/>
        <v>333.33333333333331</v>
      </c>
      <c r="DD41" s="25">
        <f t="shared" si="486"/>
        <v>333.33333333333331</v>
      </c>
      <c r="DE41" s="25">
        <f t="shared" si="486"/>
        <v>333.33333333333331</v>
      </c>
      <c r="DF41" s="25">
        <f t="shared" si="486"/>
        <v>333.33333333333331</v>
      </c>
      <c r="DG41" s="25">
        <f t="shared" si="486"/>
        <v>333.33333333333331</v>
      </c>
      <c r="DH41" s="25">
        <f t="shared" si="486"/>
        <v>333.33333333333331</v>
      </c>
      <c r="DI41" s="25">
        <f t="shared" si="486"/>
        <v>333.33333333333331</v>
      </c>
      <c r="DJ41" s="25">
        <f t="shared" si="486"/>
        <v>333.33333333333331</v>
      </c>
      <c r="DK41" s="25">
        <f t="shared" si="486"/>
        <v>333.33333333333331</v>
      </c>
      <c r="DL41" s="25">
        <f t="shared" si="486"/>
        <v>333.33333333333331</v>
      </c>
      <c r="DM41" s="25">
        <f t="shared" si="486"/>
        <v>333.33333333333331</v>
      </c>
      <c r="DN41" s="25">
        <f t="shared" si="486"/>
        <v>333.33333333333331</v>
      </c>
      <c r="DO41" s="25">
        <f t="shared" si="498"/>
        <v>4000.0000000000005</v>
      </c>
      <c r="DP41" s="10"/>
      <c r="DQ41" s="25">
        <f t="shared" si="488"/>
        <v>0</v>
      </c>
      <c r="DR41" s="25">
        <f t="shared" si="488"/>
        <v>0</v>
      </c>
      <c r="DS41" s="25">
        <f t="shared" si="488"/>
        <v>0</v>
      </c>
      <c r="DT41" s="25">
        <f t="shared" si="488"/>
        <v>0</v>
      </c>
      <c r="DU41" s="25">
        <f t="shared" si="488"/>
        <v>0</v>
      </c>
      <c r="DV41" s="25">
        <f t="shared" si="488"/>
        <v>0</v>
      </c>
      <c r="DW41" s="25">
        <f t="shared" si="488"/>
        <v>0</v>
      </c>
      <c r="DX41" s="25">
        <f t="shared" si="488"/>
        <v>0</v>
      </c>
      <c r="DY41" s="25">
        <f t="shared" si="488"/>
        <v>0</v>
      </c>
      <c r="DZ41" s="25">
        <f t="shared" si="488"/>
        <v>0</v>
      </c>
      <c r="EA41" s="25">
        <f t="shared" si="488"/>
        <v>0</v>
      </c>
      <c r="EB41" s="25">
        <f t="shared" si="488"/>
        <v>0</v>
      </c>
      <c r="EC41" s="25">
        <f t="shared" si="499"/>
        <v>0</v>
      </c>
      <c r="ED41" s="10"/>
      <c r="EE41" s="25">
        <f t="shared" si="490"/>
        <v>60170</v>
      </c>
      <c r="EF41" s="25">
        <f t="shared" si="490"/>
        <v>60060</v>
      </c>
      <c r="EG41" s="25">
        <f t="shared" si="490"/>
        <v>60115</v>
      </c>
      <c r="EH41" s="25">
        <f t="shared" si="490"/>
        <v>60060</v>
      </c>
      <c r="EI41" s="25">
        <f t="shared" si="490"/>
        <v>60115</v>
      </c>
      <c r="EJ41" s="25">
        <f t="shared" si="490"/>
        <v>60115</v>
      </c>
      <c r="EK41" s="25">
        <f t="shared" si="490"/>
        <v>60060</v>
      </c>
      <c r="EL41" s="25">
        <f t="shared" si="490"/>
        <v>60225</v>
      </c>
      <c r="EM41" s="25">
        <f t="shared" si="490"/>
        <v>60005</v>
      </c>
      <c r="EN41" s="25">
        <f t="shared" si="490"/>
        <v>60225</v>
      </c>
      <c r="EO41" s="25">
        <f t="shared" si="490"/>
        <v>60170</v>
      </c>
      <c r="EP41" s="25">
        <f t="shared" si="490"/>
        <v>59950</v>
      </c>
      <c r="EQ41" s="25">
        <f t="shared" si="500"/>
        <v>721270</v>
      </c>
      <c r="ER41" s="10"/>
    </row>
    <row r="42" spans="1:149" s="21" customFormat="1" ht="18.95" customHeight="1" outlineLevel="1">
      <c r="A42" s="21">
        <f t="shared" si="469"/>
        <v>7843905.5999999996</v>
      </c>
      <c r="B42" s="21">
        <f t="shared" si="470"/>
        <v>7759905.5999999996</v>
      </c>
      <c r="C42" s="21">
        <f t="shared" si="471"/>
        <v>36000</v>
      </c>
      <c r="D42" s="21">
        <f t="shared" si="472"/>
        <v>48000.000000000007</v>
      </c>
      <c r="E42" s="21">
        <f t="shared" si="473"/>
        <v>0</v>
      </c>
      <c r="F42" s="22">
        <v>8200</v>
      </c>
      <c r="G42" s="229" t="s">
        <v>72</v>
      </c>
      <c r="H42" s="23"/>
      <c r="I42" s="229"/>
      <c r="J42" s="23"/>
      <c r="K42" s="23"/>
      <c r="L42" s="23"/>
      <c r="M42" s="24"/>
      <c r="N42" s="25"/>
      <c r="O42" s="25"/>
      <c r="P42" s="126"/>
      <c r="Q42" s="126"/>
      <c r="R42" s="126"/>
      <c r="S42" s="129"/>
      <c r="T42" s="35"/>
      <c r="U42" s="25"/>
      <c r="V42" s="25"/>
      <c r="W42" s="25">
        <f t="shared" si="474"/>
        <v>393600</v>
      </c>
      <c r="X42" s="25">
        <f t="shared" si="474"/>
        <v>393600</v>
      </c>
      <c r="Y42" s="25">
        <f t="shared" si="474"/>
        <v>393600</v>
      </c>
      <c r="Z42" s="25">
        <f t="shared" si="474"/>
        <v>393600</v>
      </c>
      <c r="AA42" s="25">
        <f t="shared" si="474"/>
        <v>393600</v>
      </c>
      <c r="AB42" s="25">
        <f t="shared" si="474"/>
        <v>393600</v>
      </c>
      <c r="AC42" s="25">
        <f t="shared" si="474"/>
        <v>393600</v>
      </c>
      <c r="AD42" s="25">
        <f t="shared" si="474"/>
        <v>393600</v>
      </c>
      <c r="AE42" s="25">
        <f t="shared" si="474"/>
        <v>393600</v>
      </c>
      <c r="AF42" s="25">
        <f t="shared" si="474"/>
        <v>393600</v>
      </c>
      <c r="AG42" s="25">
        <f t="shared" si="474"/>
        <v>393600</v>
      </c>
      <c r="AH42" s="25">
        <f t="shared" si="474"/>
        <v>393600</v>
      </c>
      <c r="AI42" s="25">
        <f t="shared" si="492"/>
        <v>4723200</v>
      </c>
      <c r="AJ42" s="10"/>
      <c r="AK42" s="25">
        <f t="shared" si="476"/>
        <v>78720</v>
      </c>
      <c r="AL42" s="25">
        <f t="shared" si="476"/>
        <v>78720</v>
      </c>
      <c r="AM42" s="25">
        <f t="shared" si="476"/>
        <v>78720</v>
      </c>
      <c r="AN42" s="25">
        <f t="shared" si="476"/>
        <v>78720</v>
      </c>
      <c r="AO42" s="25">
        <f t="shared" si="476"/>
        <v>78720</v>
      </c>
      <c r="AP42" s="25">
        <f t="shared" si="476"/>
        <v>78720</v>
      </c>
      <c r="AQ42" s="25">
        <f t="shared" si="476"/>
        <v>78720</v>
      </c>
      <c r="AR42" s="25">
        <f t="shared" si="476"/>
        <v>78720</v>
      </c>
      <c r="AS42" s="25">
        <f t="shared" si="476"/>
        <v>78720</v>
      </c>
      <c r="AT42" s="25">
        <f t="shared" si="476"/>
        <v>78720</v>
      </c>
      <c r="AU42" s="25">
        <f t="shared" si="476"/>
        <v>78720</v>
      </c>
      <c r="AV42" s="25">
        <f t="shared" si="476"/>
        <v>78720</v>
      </c>
      <c r="AW42" s="25">
        <f t="shared" si="493"/>
        <v>944640</v>
      </c>
      <c r="AX42" s="10"/>
      <c r="AY42" s="25">
        <f t="shared" si="478"/>
        <v>14520</v>
      </c>
      <c r="AZ42" s="25">
        <f t="shared" si="478"/>
        <v>13200</v>
      </c>
      <c r="BA42" s="25">
        <f t="shared" si="478"/>
        <v>13860</v>
      </c>
      <c r="BB42" s="25">
        <f t="shared" si="478"/>
        <v>13200</v>
      </c>
      <c r="BC42" s="25">
        <f t="shared" si="478"/>
        <v>13860</v>
      </c>
      <c r="BD42" s="25">
        <f t="shared" si="478"/>
        <v>13860</v>
      </c>
      <c r="BE42" s="25">
        <f t="shared" si="478"/>
        <v>13200</v>
      </c>
      <c r="BF42" s="25">
        <f t="shared" si="478"/>
        <v>15180</v>
      </c>
      <c r="BG42" s="25">
        <f t="shared" si="478"/>
        <v>12540</v>
      </c>
      <c r="BH42" s="25">
        <f t="shared" si="478"/>
        <v>15180</v>
      </c>
      <c r="BI42" s="25">
        <f t="shared" si="478"/>
        <v>14520</v>
      </c>
      <c r="BJ42" s="25">
        <f t="shared" si="478"/>
        <v>11880</v>
      </c>
      <c r="BK42" s="25">
        <f t="shared" si="494"/>
        <v>165000</v>
      </c>
      <c r="BL42" s="10"/>
      <c r="BM42" s="25">
        <f t="shared" si="480"/>
        <v>118080</v>
      </c>
      <c r="BN42" s="25">
        <f t="shared" si="480"/>
        <v>118080</v>
      </c>
      <c r="BO42" s="25">
        <f t="shared" si="480"/>
        <v>118080</v>
      </c>
      <c r="BP42" s="25">
        <f t="shared" si="480"/>
        <v>118080</v>
      </c>
      <c r="BQ42" s="25">
        <f t="shared" si="480"/>
        <v>118080</v>
      </c>
      <c r="BR42" s="25">
        <f t="shared" si="480"/>
        <v>118080</v>
      </c>
      <c r="BS42" s="25">
        <f t="shared" si="480"/>
        <v>118080</v>
      </c>
      <c r="BT42" s="25">
        <f t="shared" si="480"/>
        <v>118080</v>
      </c>
      <c r="BU42" s="25">
        <f t="shared" si="480"/>
        <v>118080</v>
      </c>
      <c r="BV42" s="25">
        <f t="shared" si="480"/>
        <v>118080</v>
      </c>
      <c r="BW42" s="25">
        <f t="shared" si="480"/>
        <v>118080</v>
      </c>
      <c r="BX42" s="25">
        <f t="shared" si="480"/>
        <v>118080</v>
      </c>
      <c r="BY42" s="25">
        <f t="shared" si="495"/>
        <v>1416960</v>
      </c>
      <c r="BZ42" s="10"/>
      <c r="CA42" s="25">
        <f t="shared" si="482"/>
        <v>42508.799999999996</v>
      </c>
      <c r="CB42" s="25">
        <f t="shared" si="482"/>
        <v>42508.799999999996</v>
      </c>
      <c r="CC42" s="25">
        <f t="shared" si="482"/>
        <v>42508.799999999996</v>
      </c>
      <c r="CD42" s="25">
        <f t="shared" si="482"/>
        <v>42508.799999999996</v>
      </c>
      <c r="CE42" s="25">
        <f t="shared" si="482"/>
        <v>42508.799999999996</v>
      </c>
      <c r="CF42" s="25">
        <f t="shared" si="482"/>
        <v>42508.799999999996</v>
      </c>
      <c r="CG42" s="25">
        <f t="shared" si="482"/>
        <v>42508.799999999996</v>
      </c>
      <c r="CH42" s="25">
        <f t="shared" si="482"/>
        <v>42508.799999999996</v>
      </c>
      <c r="CI42" s="25">
        <f t="shared" si="482"/>
        <v>42508.799999999996</v>
      </c>
      <c r="CJ42" s="25">
        <f t="shared" si="482"/>
        <v>42508.799999999996</v>
      </c>
      <c r="CK42" s="25">
        <f t="shared" si="482"/>
        <v>42508.799999999996</v>
      </c>
      <c r="CL42" s="25">
        <f t="shared" si="482"/>
        <v>42508.799999999996</v>
      </c>
      <c r="CM42" s="25">
        <f t="shared" si="496"/>
        <v>510105.59999999992</v>
      </c>
      <c r="CN42" s="10"/>
      <c r="CO42" s="25">
        <f t="shared" si="484"/>
        <v>0</v>
      </c>
      <c r="CP42" s="25">
        <f t="shared" si="484"/>
        <v>0</v>
      </c>
      <c r="CQ42" s="25">
        <f t="shared" si="484"/>
        <v>36000</v>
      </c>
      <c r="CR42" s="25">
        <f t="shared" si="484"/>
        <v>0</v>
      </c>
      <c r="CS42" s="25">
        <f t="shared" si="484"/>
        <v>0</v>
      </c>
      <c r="CT42" s="25">
        <f t="shared" si="484"/>
        <v>0</v>
      </c>
      <c r="CU42" s="25">
        <f t="shared" si="484"/>
        <v>0</v>
      </c>
      <c r="CV42" s="25">
        <f t="shared" si="484"/>
        <v>0</v>
      </c>
      <c r="CW42" s="25">
        <f t="shared" si="484"/>
        <v>0</v>
      </c>
      <c r="CX42" s="25">
        <f t="shared" si="484"/>
        <v>0</v>
      </c>
      <c r="CY42" s="25">
        <f t="shared" si="484"/>
        <v>0</v>
      </c>
      <c r="CZ42" s="25">
        <f t="shared" si="484"/>
        <v>0</v>
      </c>
      <c r="DA42" s="25">
        <f t="shared" si="497"/>
        <v>36000</v>
      </c>
      <c r="DB42" s="10"/>
      <c r="DC42" s="25">
        <f t="shared" si="486"/>
        <v>4000.0000000000005</v>
      </c>
      <c r="DD42" s="25">
        <f t="shared" si="486"/>
        <v>4000.0000000000005</v>
      </c>
      <c r="DE42" s="25">
        <f t="shared" si="486"/>
        <v>4000.0000000000005</v>
      </c>
      <c r="DF42" s="25">
        <f t="shared" si="486"/>
        <v>4000.0000000000005</v>
      </c>
      <c r="DG42" s="25">
        <f t="shared" si="486"/>
        <v>4000.0000000000005</v>
      </c>
      <c r="DH42" s="25">
        <f t="shared" si="486"/>
        <v>4000.0000000000005</v>
      </c>
      <c r="DI42" s="25">
        <f t="shared" si="486"/>
        <v>4000.0000000000005</v>
      </c>
      <c r="DJ42" s="25">
        <f t="shared" si="486"/>
        <v>4000.0000000000005</v>
      </c>
      <c r="DK42" s="25">
        <f t="shared" si="486"/>
        <v>4000.0000000000005</v>
      </c>
      <c r="DL42" s="25">
        <f t="shared" si="486"/>
        <v>4000.0000000000005</v>
      </c>
      <c r="DM42" s="25">
        <f t="shared" si="486"/>
        <v>4000.0000000000005</v>
      </c>
      <c r="DN42" s="25">
        <f t="shared" si="486"/>
        <v>4000.0000000000005</v>
      </c>
      <c r="DO42" s="25">
        <f t="shared" si="498"/>
        <v>48000.000000000007</v>
      </c>
      <c r="DP42" s="10"/>
      <c r="DQ42" s="25">
        <f t="shared" si="488"/>
        <v>0</v>
      </c>
      <c r="DR42" s="25">
        <f t="shared" si="488"/>
        <v>0</v>
      </c>
      <c r="DS42" s="25">
        <f t="shared" si="488"/>
        <v>0</v>
      </c>
      <c r="DT42" s="25">
        <f t="shared" si="488"/>
        <v>0</v>
      </c>
      <c r="DU42" s="25">
        <f t="shared" si="488"/>
        <v>0</v>
      </c>
      <c r="DV42" s="25">
        <f t="shared" si="488"/>
        <v>0</v>
      </c>
      <c r="DW42" s="25">
        <f t="shared" si="488"/>
        <v>0</v>
      </c>
      <c r="DX42" s="25">
        <f t="shared" si="488"/>
        <v>0</v>
      </c>
      <c r="DY42" s="25">
        <f t="shared" si="488"/>
        <v>0</v>
      </c>
      <c r="DZ42" s="25">
        <f t="shared" si="488"/>
        <v>0</v>
      </c>
      <c r="EA42" s="25">
        <f t="shared" si="488"/>
        <v>0</v>
      </c>
      <c r="EB42" s="25">
        <f t="shared" si="488"/>
        <v>0</v>
      </c>
      <c r="EC42" s="25">
        <f t="shared" si="499"/>
        <v>0</v>
      </c>
      <c r="ED42" s="10"/>
      <c r="EE42" s="25">
        <f t="shared" si="490"/>
        <v>647428.79999999993</v>
      </c>
      <c r="EF42" s="25">
        <f t="shared" si="490"/>
        <v>646108.79999999993</v>
      </c>
      <c r="EG42" s="25">
        <f t="shared" si="490"/>
        <v>646768.79999999993</v>
      </c>
      <c r="EH42" s="25">
        <f t="shared" si="490"/>
        <v>646108.79999999993</v>
      </c>
      <c r="EI42" s="25">
        <f t="shared" si="490"/>
        <v>646768.79999999993</v>
      </c>
      <c r="EJ42" s="25">
        <f t="shared" si="490"/>
        <v>646768.79999999993</v>
      </c>
      <c r="EK42" s="25">
        <f t="shared" si="490"/>
        <v>646108.79999999993</v>
      </c>
      <c r="EL42" s="25">
        <f t="shared" si="490"/>
        <v>648088.79999999993</v>
      </c>
      <c r="EM42" s="25">
        <f t="shared" si="490"/>
        <v>645448.79999999993</v>
      </c>
      <c r="EN42" s="25">
        <f t="shared" si="490"/>
        <v>648088.79999999993</v>
      </c>
      <c r="EO42" s="25">
        <f t="shared" si="490"/>
        <v>647428.79999999993</v>
      </c>
      <c r="EP42" s="25">
        <f t="shared" si="490"/>
        <v>644788.79999999993</v>
      </c>
      <c r="EQ42" s="25">
        <f t="shared" si="500"/>
        <v>7759905.5999999987</v>
      </c>
      <c r="ER42" s="10"/>
    </row>
    <row r="43" spans="1:149" s="21" customFormat="1" ht="18.95" customHeight="1" outlineLevel="1">
      <c r="A43" s="21">
        <f t="shared" si="469"/>
        <v>0</v>
      </c>
      <c r="B43" s="21">
        <f t="shared" si="470"/>
        <v>0</v>
      </c>
      <c r="C43" s="21">
        <f t="shared" si="471"/>
        <v>0</v>
      </c>
      <c r="D43" s="21">
        <f t="shared" si="472"/>
        <v>0</v>
      </c>
      <c r="E43" s="21">
        <f t="shared" si="473"/>
        <v>0</v>
      </c>
      <c r="F43" s="22">
        <v>8300</v>
      </c>
      <c r="G43" s="229" t="s">
        <v>73</v>
      </c>
      <c r="H43" s="23"/>
      <c r="I43" s="229"/>
      <c r="J43" s="23"/>
      <c r="K43" s="23"/>
      <c r="L43" s="23"/>
      <c r="M43" s="24"/>
      <c r="N43" s="25"/>
      <c r="O43" s="25"/>
      <c r="P43" s="126"/>
      <c r="Q43" s="126"/>
      <c r="R43" s="126"/>
      <c r="S43" s="129"/>
      <c r="T43" s="35"/>
      <c r="U43" s="25"/>
      <c r="V43" s="25"/>
      <c r="W43" s="25">
        <f t="shared" si="474"/>
        <v>0</v>
      </c>
      <c r="X43" s="25">
        <f t="shared" si="474"/>
        <v>0</v>
      </c>
      <c r="Y43" s="25">
        <f t="shared" si="474"/>
        <v>0</v>
      </c>
      <c r="Z43" s="25">
        <f t="shared" si="474"/>
        <v>0</v>
      </c>
      <c r="AA43" s="25">
        <f t="shared" si="474"/>
        <v>0</v>
      </c>
      <c r="AB43" s="25">
        <f t="shared" si="474"/>
        <v>0</v>
      </c>
      <c r="AC43" s="25">
        <f t="shared" si="474"/>
        <v>0</v>
      </c>
      <c r="AD43" s="25">
        <f t="shared" si="474"/>
        <v>0</v>
      </c>
      <c r="AE43" s="25">
        <f t="shared" si="474"/>
        <v>0</v>
      </c>
      <c r="AF43" s="25">
        <f t="shared" si="474"/>
        <v>0</v>
      </c>
      <c r="AG43" s="25">
        <f t="shared" si="474"/>
        <v>0</v>
      </c>
      <c r="AH43" s="25">
        <f t="shared" si="474"/>
        <v>0</v>
      </c>
      <c r="AI43" s="25">
        <f t="shared" si="492"/>
        <v>0</v>
      </c>
      <c r="AJ43" s="10"/>
      <c r="AK43" s="25">
        <f t="shared" si="476"/>
        <v>0</v>
      </c>
      <c r="AL43" s="25">
        <f t="shared" si="476"/>
        <v>0</v>
      </c>
      <c r="AM43" s="25">
        <f t="shared" si="476"/>
        <v>0</v>
      </c>
      <c r="AN43" s="25">
        <f t="shared" si="476"/>
        <v>0</v>
      </c>
      <c r="AO43" s="25">
        <f t="shared" si="476"/>
        <v>0</v>
      </c>
      <c r="AP43" s="25">
        <f t="shared" si="476"/>
        <v>0</v>
      </c>
      <c r="AQ43" s="25">
        <f t="shared" si="476"/>
        <v>0</v>
      </c>
      <c r="AR43" s="25">
        <f t="shared" si="476"/>
        <v>0</v>
      </c>
      <c r="AS43" s="25">
        <f t="shared" si="476"/>
        <v>0</v>
      </c>
      <c r="AT43" s="25">
        <f t="shared" si="476"/>
        <v>0</v>
      </c>
      <c r="AU43" s="25">
        <f t="shared" si="476"/>
        <v>0</v>
      </c>
      <c r="AV43" s="25">
        <f t="shared" si="476"/>
        <v>0</v>
      </c>
      <c r="AW43" s="25">
        <f t="shared" si="493"/>
        <v>0</v>
      </c>
      <c r="AX43" s="10"/>
      <c r="AY43" s="25">
        <f t="shared" si="478"/>
        <v>0</v>
      </c>
      <c r="AZ43" s="25">
        <f t="shared" si="478"/>
        <v>0</v>
      </c>
      <c r="BA43" s="25">
        <f t="shared" si="478"/>
        <v>0</v>
      </c>
      <c r="BB43" s="25">
        <f t="shared" si="478"/>
        <v>0</v>
      </c>
      <c r="BC43" s="25">
        <f t="shared" si="478"/>
        <v>0</v>
      </c>
      <c r="BD43" s="25">
        <f t="shared" si="478"/>
        <v>0</v>
      </c>
      <c r="BE43" s="25">
        <f t="shared" si="478"/>
        <v>0</v>
      </c>
      <c r="BF43" s="25">
        <f t="shared" si="478"/>
        <v>0</v>
      </c>
      <c r="BG43" s="25">
        <f t="shared" si="478"/>
        <v>0</v>
      </c>
      <c r="BH43" s="25">
        <f t="shared" si="478"/>
        <v>0</v>
      </c>
      <c r="BI43" s="25">
        <f t="shared" si="478"/>
        <v>0</v>
      </c>
      <c r="BJ43" s="25">
        <f t="shared" si="478"/>
        <v>0</v>
      </c>
      <c r="BK43" s="25">
        <f t="shared" si="494"/>
        <v>0</v>
      </c>
      <c r="BL43" s="10"/>
      <c r="BM43" s="25">
        <f t="shared" si="480"/>
        <v>0</v>
      </c>
      <c r="BN43" s="25">
        <f t="shared" si="480"/>
        <v>0</v>
      </c>
      <c r="BO43" s="25">
        <f t="shared" si="480"/>
        <v>0</v>
      </c>
      <c r="BP43" s="25">
        <f t="shared" si="480"/>
        <v>0</v>
      </c>
      <c r="BQ43" s="25">
        <f t="shared" si="480"/>
        <v>0</v>
      </c>
      <c r="BR43" s="25">
        <f t="shared" si="480"/>
        <v>0</v>
      </c>
      <c r="BS43" s="25">
        <f t="shared" si="480"/>
        <v>0</v>
      </c>
      <c r="BT43" s="25">
        <f t="shared" si="480"/>
        <v>0</v>
      </c>
      <c r="BU43" s="25">
        <f t="shared" si="480"/>
        <v>0</v>
      </c>
      <c r="BV43" s="25">
        <f t="shared" si="480"/>
        <v>0</v>
      </c>
      <c r="BW43" s="25">
        <f t="shared" si="480"/>
        <v>0</v>
      </c>
      <c r="BX43" s="25">
        <f t="shared" si="480"/>
        <v>0</v>
      </c>
      <c r="BY43" s="25">
        <f t="shared" si="495"/>
        <v>0</v>
      </c>
      <c r="BZ43" s="10"/>
      <c r="CA43" s="25">
        <f t="shared" si="482"/>
        <v>0</v>
      </c>
      <c r="CB43" s="25">
        <f t="shared" si="482"/>
        <v>0</v>
      </c>
      <c r="CC43" s="25">
        <f t="shared" si="482"/>
        <v>0</v>
      </c>
      <c r="CD43" s="25">
        <f t="shared" si="482"/>
        <v>0</v>
      </c>
      <c r="CE43" s="25">
        <f t="shared" si="482"/>
        <v>0</v>
      </c>
      <c r="CF43" s="25">
        <f t="shared" si="482"/>
        <v>0</v>
      </c>
      <c r="CG43" s="25">
        <f t="shared" si="482"/>
        <v>0</v>
      </c>
      <c r="CH43" s="25">
        <f t="shared" si="482"/>
        <v>0</v>
      </c>
      <c r="CI43" s="25">
        <f t="shared" si="482"/>
        <v>0</v>
      </c>
      <c r="CJ43" s="25">
        <f t="shared" si="482"/>
        <v>0</v>
      </c>
      <c r="CK43" s="25">
        <f t="shared" si="482"/>
        <v>0</v>
      </c>
      <c r="CL43" s="25">
        <f t="shared" si="482"/>
        <v>0</v>
      </c>
      <c r="CM43" s="25">
        <f t="shared" si="496"/>
        <v>0</v>
      </c>
      <c r="CN43" s="10"/>
      <c r="CO43" s="25">
        <f t="shared" si="484"/>
        <v>0</v>
      </c>
      <c r="CP43" s="25">
        <f t="shared" si="484"/>
        <v>0</v>
      </c>
      <c r="CQ43" s="25">
        <f t="shared" si="484"/>
        <v>0</v>
      </c>
      <c r="CR43" s="25">
        <f t="shared" si="484"/>
        <v>0</v>
      </c>
      <c r="CS43" s="25">
        <f t="shared" si="484"/>
        <v>0</v>
      </c>
      <c r="CT43" s="25">
        <f t="shared" si="484"/>
        <v>0</v>
      </c>
      <c r="CU43" s="25">
        <f t="shared" si="484"/>
        <v>0</v>
      </c>
      <c r="CV43" s="25">
        <f t="shared" si="484"/>
        <v>0</v>
      </c>
      <c r="CW43" s="25">
        <f t="shared" si="484"/>
        <v>0</v>
      </c>
      <c r="CX43" s="25">
        <f t="shared" si="484"/>
        <v>0</v>
      </c>
      <c r="CY43" s="25">
        <f t="shared" si="484"/>
        <v>0</v>
      </c>
      <c r="CZ43" s="25">
        <f t="shared" si="484"/>
        <v>0</v>
      </c>
      <c r="DA43" s="25">
        <f t="shared" si="497"/>
        <v>0</v>
      </c>
      <c r="DB43" s="10"/>
      <c r="DC43" s="25">
        <f t="shared" si="486"/>
        <v>0</v>
      </c>
      <c r="DD43" s="25">
        <f t="shared" si="486"/>
        <v>0</v>
      </c>
      <c r="DE43" s="25">
        <f t="shared" si="486"/>
        <v>0</v>
      </c>
      <c r="DF43" s="25">
        <f t="shared" si="486"/>
        <v>0</v>
      </c>
      <c r="DG43" s="25">
        <f t="shared" si="486"/>
        <v>0</v>
      </c>
      <c r="DH43" s="25">
        <f t="shared" si="486"/>
        <v>0</v>
      </c>
      <c r="DI43" s="25">
        <f t="shared" si="486"/>
        <v>0</v>
      </c>
      <c r="DJ43" s="25">
        <f t="shared" si="486"/>
        <v>0</v>
      </c>
      <c r="DK43" s="25">
        <f t="shared" si="486"/>
        <v>0</v>
      </c>
      <c r="DL43" s="25">
        <f t="shared" si="486"/>
        <v>0</v>
      </c>
      <c r="DM43" s="25">
        <f t="shared" si="486"/>
        <v>0</v>
      </c>
      <c r="DN43" s="25">
        <f t="shared" si="486"/>
        <v>0</v>
      </c>
      <c r="DO43" s="25">
        <f t="shared" si="498"/>
        <v>0</v>
      </c>
      <c r="DP43" s="10"/>
      <c r="DQ43" s="25">
        <f t="shared" si="488"/>
        <v>0</v>
      </c>
      <c r="DR43" s="25">
        <f t="shared" si="488"/>
        <v>0</v>
      </c>
      <c r="DS43" s="25">
        <f t="shared" si="488"/>
        <v>0</v>
      </c>
      <c r="DT43" s="25">
        <f t="shared" si="488"/>
        <v>0</v>
      </c>
      <c r="DU43" s="25">
        <f t="shared" si="488"/>
        <v>0</v>
      </c>
      <c r="DV43" s="25">
        <f t="shared" si="488"/>
        <v>0</v>
      </c>
      <c r="DW43" s="25">
        <f t="shared" si="488"/>
        <v>0</v>
      </c>
      <c r="DX43" s="25">
        <f t="shared" si="488"/>
        <v>0</v>
      </c>
      <c r="DY43" s="25">
        <f t="shared" si="488"/>
        <v>0</v>
      </c>
      <c r="DZ43" s="25">
        <f t="shared" si="488"/>
        <v>0</v>
      </c>
      <c r="EA43" s="25">
        <f t="shared" si="488"/>
        <v>0</v>
      </c>
      <c r="EB43" s="25">
        <f t="shared" si="488"/>
        <v>0</v>
      </c>
      <c r="EC43" s="25">
        <f t="shared" si="499"/>
        <v>0</v>
      </c>
      <c r="ED43" s="10"/>
      <c r="EE43" s="25">
        <f t="shared" si="490"/>
        <v>0</v>
      </c>
      <c r="EF43" s="25">
        <f t="shared" si="490"/>
        <v>0</v>
      </c>
      <c r="EG43" s="25">
        <f t="shared" si="490"/>
        <v>0</v>
      </c>
      <c r="EH43" s="25">
        <f t="shared" si="490"/>
        <v>0</v>
      </c>
      <c r="EI43" s="25">
        <f t="shared" si="490"/>
        <v>0</v>
      </c>
      <c r="EJ43" s="25">
        <f t="shared" si="490"/>
        <v>0</v>
      </c>
      <c r="EK43" s="25">
        <f t="shared" si="490"/>
        <v>0</v>
      </c>
      <c r="EL43" s="25">
        <f t="shared" si="490"/>
        <v>0</v>
      </c>
      <c r="EM43" s="25">
        <f t="shared" si="490"/>
        <v>0</v>
      </c>
      <c r="EN43" s="25">
        <f t="shared" si="490"/>
        <v>0</v>
      </c>
      <c r="EO43" s="25">
        <f t="shared" si="490"/>
        <v>0</v>
      </c>
      <c r="EP43" s="25">
        <f t="shared" si="490"/>
        <v>0</v>
      </c>
      <c r="EQ43" s="25">
        <f t="shared" si="500"/>
        <v>0</v>
      </c>
      <c r="ER43" s="10"/>
    </row>
    <row r="45" spans="1:149">
      <c r="A45" s="240">
        <f>SUM(A46:A48)</f>
        <v>14938703.800000001</v>
      </c>
      <c r="B45" s="240">
        <f t="shared" ref="B45:E45" si="501">SUM(B46:B48)</f>
        <v>14381303.800000001</v>
      </c>
      <c r="C45" s="240">
        <f t="shared" si="501"/>
        <v>153000</v>
      </c>
      <c r="D45" s="240">
        <f t="shared" si="501"/>
        <v>104400</v>
      </c>
      <c r="E45" s="240">
        <f t="shared" si="501"/>
        <v>300000</v>
      </c>
      <c r="W45" s="240">
        <f t="shared" ref="W45" si="502">SUM(W46:W48)</f>
        <v>753625</v>
      </c>
      <c r="X45" s="240">
        <f t="shared" ref="X45" si="503">SUM(X46:X48)</f>
        <v>753625</v>
      </c>
      <c r="Y45" s="240">
        <f t="shared" ref="Y45" si="504">SUM(Y46:Y48)</f>
        <v>753625</v>
      </c>
      <c r="Z45" s="240">
        <f t="shared" ref="Z45" si="505">SUM(Z46:Z48)</f>
        <v>753625</v>
      </c>
      <c r="AA45" s="240">
        <f t="shared" ref="AA45" si="506">SUM(AA46:AA48)</f>
        <v>753625</v>
      </c>
      <c r="AB45" s="240">
        <f t="shared" ref="AB45" si="507">SUM(AB46:AB48)</f>
        <v>753625</v>
      </c>
      <c r="AC45" s="240">
        <f t="shared" ref="AC45" si="508">SUM(AC46:AC48)</f>
        <v>753625</v>
      </c>
      <c r="AD45" s="240">
        <f t="shared" ref="AD45" si="509">SUM(AD46:AD48)</f>
        <v>753625</v>
      </c>
      <c r="AE45" s="240">
        <f t="shared" ref="AE45" si="510">SUM(AE46:AE48)</f>
        <v>753625</v>
      </c>
      <c r="AF45" s="240">
        <f t="shared" ref="AF45" si="511">SUM(AF46:AF48)</f>
        <v>753625</v>
      </c>
      <c r="AG45" s="240">
        <f t="shared" ref="AG45" si="512">SUM(AG46:AG48)</f>
        <v>753625</v>
      </c>
      <c r="AH45" s="240">
        <f t="shared" ref="AH45" si="513">SUM(AH46:AH48)</f>
        <v>753625</v>
      </c>
      <c r="AI45" s="240">
        <f t="shared" ref="AI45" si="514">SUM(AI46:AI48)</f>
        <v>9043500</v>
      </c>
      <c r="AK45" s="240">
        <f t="shared" ref="AK45" si="515">SUM(AK46:AK48)</f>
        <v>121922.5</v>
      </c>
      <c r="AL45" s="240">
        <f t="shared" ref="AL45" si="516">SUM(AL46:AL48)</f>
        <v>121922.5</v>
      </c>
      <c r="AM45" s="240">
        <f t="shared" ref="AM45" si="517">SUM(AM46:AM48)</f>
        <v>121922.5</v>
      </c>
      <c r="AN45" s="240">
        <f t="shared" ref="AN45" si="518">SUM(AN46:AN48)</f>
        <v>121922.5</v>
      </c>
      <c r="AO45" s="240">
        <f t="shared" ref="AO45" si="519">SUM(AO46:AO48)</f>
        <v>121922.5</v>
      </c>
      <c r="AP45" s="240">
        <f t="shared" ref="AP45" si="520">SUM(AP46:AP48)</f>
        <v>121922.5</v>
      </c>
      <c r="AQ45" s="240">
        <f t="shared" ref="AQ45" si="521">SUM(AQ46:AQ48)</f>
        <v>121922.5</v>
      </c>
      <c r="AR45" s="240">
        <f t="shared" ref="AR45" si="522">SUM(AR46:AR48)</f>
        <v>121922.5</v>
      </c>
      <c r="AS45" s="240">
        <f t="shared" ref="AS45" si="523">SUM(AS46:AS48)</f>
        <v>121922.5</v>
      </c>
      <c r="AT45" s="240">
        <f t="shared" ref="AT45" si="524">SUM(AT46:AT48)</f>
        <v>121922.5</v>
      </c>
      <c r="AU45" s="240">
        <f t="shared" ref="AU45" si="525">SUM(AU46:AU48)</f>
        <v>121922.5</v>
      </c>
      <c r="AV45" s="240">
        <f t="shared" ref="AV45" si="526">SUM(AV46:AV48)</f>
        <v>121922.5</v>
      </c>
      <c r="AW45" s="240">
        <f t="shared" ref="AW45" si="527">SUM(AW46:AW48)</f>
        <v>1463070</v>
      </c>
      <c r="AY45" s="240">
        <f t="shared" ref="AY45" si="528">SUM(AY46:AY48)</f>
        <v>26620</v>
      </c>
      <c r="AZ45" s="240">
        <f t="shared" ref="AZ45" si="529">SUM(AZ46:AZ48)</f>
        <v>24200</v>
      </c>
      <c r="BA45" s="240">
        <f t="shared" ref="BA45" si="530">SUM(BA46:BA48)</f>
        <v>25410</v>
      </c>
      <c r="BB45" s="240">
        <f t="shared" ref="BB45" si="531">SUM(BB46:BB48)</f>
        <v>24200</v>
      </c>
      <c r="BC45" s="240">
        <f t="shared" ref="BC45" si="532">SUM(BC46:BC48)</f>
        <v>25410</v>
      </c>
      <c r="BD45" s="240">
        <f t="shared" ref="BD45" si="533">SUM(BD46:BD48)</f>
        <v>25410</v>
      </c>
      <c r="BE45" s="240">
        <f t="shared" ref="BE45" si="534">SUM(BE46:BE48)</f>
        <v>24200</v>
      </c>
      <c r="BF45" s="240">
        <f t="shared" ref="BF45" si="535">SUM(BF46:BF48)</f>
        <v>27830</v>
      </c>
      <c r="BG45" s="240">
        <f t="shared" ref="BG45" si="536">SUM(BG46:BG48)</f>
        <v>22990</v>
      </c>
      <c r="BH45" s="240">
        <f t="shared" ref="BH45" si="537">SUM(BH46:BH48)</f>
        <v>27830</v>
      </c>
      <c r="BI45" s="240">
        <f t="shared" ref="BI45" si="538">SUM(BI46:BI48)</f>
        <v>26620</v>
      </c>
      <c r="BJ45" s="240">
        <f t="shared" ref="BJ45" si="539">SUM(BJ46:BJ48)</f>
        <v>21780</v>
      </c>
      <c r="BK45" s="240">
        <f t="shared" ref="BK45" si="540">SUM(BK46:BK48)</f>
        <v>302500</v>
      </c>
      <c r="BM45" s="240">
        <f t="shared" ref="BM45" si="541">SUM(BM46:BM48)</f>
        <v>218886.875</v>
      </c>
      <c r="BN45" s="240">
        <f t="shared" ref="BN45" si="542">SUM(BN46:BN48)</f>
        <v>218886.875</v>
      </c>
      <c r="BO45" s="240">
        <f t="shared" ref="BO45" si="543">SUM(BO46:BO48)</f>
        <v>218886.875</v>
      </c>
      <c r="BP45" s="240">
        <f t="shared" ref="BP45" si="544">SUM(BP46:BP48)</f>
        <v>218886.875</v>
      </c>
      <c r="BQ45" s="240">
        <f t="shared" ref="BQ45" si="545">SUM(BQ46:BQ48)</f>
        <v>218886.875</v>
      </c>
      <c r="BR45" s="240">
        <f t="shared" ref="BR45" si="546">SUM(BR46:BR48)</f>
        <v>218886.875</v>
      </c>
      <c r="BS45" s="240">
        <f t="shared" ref="BS45" si="547">SUM(BS46:BS48)</f>
        <v>218886.875</v>
      </c>
      <c r="BT45" s="240">
        <f t="shared" ref="BT45" si="548">SUM(BT46:BT48)</f>
        <v>218886.875</v>
      </c>
      <c r="BU45" s="240">
        <f t="shared" ref="BU45" si="549">SUM(BU46:BU48)</f>
        <v>218886.875</v>
      </c>
      <c r="BV45" s="240">
        <f t="shared" ref="BV45" si="550">SUM(BV46:BV48)</f>
        <v>218886.875</v>
      </c>
      <c r="BW45" s="240">
        <f t="shared" ref="BW45" si="551">SUM(BW46:BW48)</f>
        <v>218886.875</v>
      </c>
      <c r="BX45" s="240">
        <f t="shared" ref="BX45" si="552">SUM(BX46:BX48)</f>
        <v>218886.875</v>
      </c>
      <c r="BY45" s="240">
        <f t="shared" ref="BY45" si="553">SUM(BY46:BY48)</f>
        <v>2626642.5</v>
      </c>
      <c r="CA45" s="240">
        <f t="shared" ref="CA45" si="554">SUM(CA46:CA48)</f>
        <v>78799.274999999994</v>
      </c>
      <c r="CB45" s="240">
        <f t="shared" ref="CB45" si="555">SUM(CB46:CB48)</f>
        <v>78799.274999999994</v>
      </c>
      <c r="CC45" s="240">
        <f t="shared" ref="CC45" si="556">SUM(CC46:CC48)</f>
        <v>78799.274999999994</v>
      </c>
      <c r="CD45" s="240">
        <f t="shared" ref="CD45" si="557">SUM(CD46:CD48)</f>
        <v>78799.274999999994</v>
      </c>
      <c r="CE45" s="240">
        <f t="shared" ref="CE45" si="558">SUM(CE46:CE48)</f>
        <v>78799.274999999994</v>
      </c>
      <c r="CF45" s="240">
        <f t="shared" ref="CF45" si="559">SUM(CF46:CF48)</f>
        <v>78799.274999999994</v>
      </c>
      <c r="CG45" s="240">
        <f t="shared" ref="CG45" si="560">SUM(CG46:CG48)</f>
        <v>78799.274999999994</v>
      </c>
      <c r="CH45" s="240">
        <f t="shared" ref="CH45" si="561">SUM(CH46:CH48)</f>
        <v>78799.274999999994</v>
      </c>
      <c r="CI45" s="240">
        <f t="shared" ref="CI45" si="562">SUM(CI46:CI48)</f>
        <v>78799.274999999994</v>
      </c>
      <c r="CJ45" s="240">
        <f t="shared" ref="CJ45" si="563">SUM(CJ46:CJ48)</f>
        <v>78799.274999999994</v>
      </c>
      <c r="CK45" s="240">
        <f t="shared" ref="CK45" si="564">SUM(CK46:CK48)</f>
        <v>78799.274999999994</v>
      </c>
      <c r="CL45" s="240">
        <f t="shared" ref="CL45" si="565">SUM(CL46:CL48)</f>
        <v>78799.274999999994</v>
      </c>
      <c r="CM45" s="240">
        <f t="shared" ref="CM45" si="566">SUM(CM46:CM48)</f>
        <v>945591.29999999993</v>
      </c>
      <c r="CO45" s="240">
        <f t="shared" ref="CO45" si="567">SUM(CO46:CO48)</f>
        <v>0</v>
      </c>
      <c r="CP45" s="240">
        <f t="shared" ref="CP45" si="568">SUM(CP46:CP48)</f>
        <v>0</v>
      </c>
      <c r="CQ45" s="240">
        <f t="shared" ref="CQ45" si="569">SUM(CQ46:CQ48)</f>
        <v>39000</v>
      </c>
      <c r="CR45" s="240">
        <f t="shared" ref="CR45" si="570">SUM(CR46:CR48)</f>
        <v>0</v>
      </c>
      <c r="CS45" s="240">
        <f t="shared" ref="CS45" si="571">SUM(CS46:CS48)</f>
        <v>57000</v>
      </c>
      <c r="CT45" s="240">
        <f t="shared" ref="CT45" si="572">SUM(CT46:CT48)</f>
        <v>0</v>
      </c>
      <c r="CU45" s="240">
        <f t="shared" ref="CU45" si="573">SUM(CU46:CU48)</f>
        <v>0</v>
      </c>
      <c r="CV45" s="240">
        <f t="shared" ref="CV45" si="574">SUM(CV46:CV48)</f>
        <v>0</v>
      </c>
      <c r="CW45" s="240">
        <f t="shared" ref="CW45" si="575">SUM(CW46:CW48)</f>
        <v>0</v>
      </c>
      <c r="CX45" s="240">
        <f t="shared" ref="CX45" si="576">SUM(CX46:CX48)</f>
        <v>0</v>
      </c>
      <c r="CY45" s="240">
        <f t="shared" ref="CY45" si="577">SUM(CY46:CY48)</f>
        <v>57000</v>
      </c>
      <c r="CZ45" s="240">
        <f t="shared" ref="CZ45" si="578">SUM(CZ46:CZ48)</f>
        <v>0</v>
      </c>
      <c r="DA45" s="240">
        <f t="shared" ref="DA45" si="579">SUM(DA46:DA48)</f>
        <v>153000</v>
      </c>
      <c r="DC45" s="240">
        <f t="shared" ref="DC45" si="580">SUM(DC46:DC48)</f>
        <v>8700</v>
      </c>
      <c r="DD45" s="240">
        <f t="shared" ref="DD45" si="581">SUM(DD46:DD48)</f>
        <v>8700</v>
      </c>
      <c r="DE45" s="240">
        <f t="shared" ref="DE45" si="582">SUM(DE46:DE48)</f>
        <v>8700</v>
      </c>
      <c r="DF45" s="240">
        <f t="shared" ref="DF45" si="583">SUM(DF46:DF48)</f>
        <v>8700</v>
      </c>
      <c r="DG45" s="240">
        <f t="shared" ref="DG45" si="584">SUM(DG46:DG48)</f>
        <v>8700</v>
      </c>
      <c r="DH45" s="240">
        <f t="shared" ref="DH45" si="585">SUM(DH46:DH48)</f>
        <v>8700</v>
      </c>
      <c r="DI45" s="240">
        <f t="shared" ref="DI45" si="586">SUM(DI46:DI48)</f>
        <v>8700</v>
      </c>
      <c r="DJ45" s="240">
        <f t="shared" ref="DJ45" si="587">SUM(DJ46:DJ48)</f>
        <v>8700</v>
      </c>
      <c r="DK45" s="240">
        <f t="shared" ref="DK45" si="588">SUM(DK46:DK48)</f>
        <v>8700</v>
      </c>
      <c r="DL45" s="240">
        <f t="shared" ref="DL45" si="589">SUM(DL46:DL48)</f>
        <v>8700</v>
      </c>
      <c r="DM45" s="240">
        <f t="shared" ref="DM45" si="590">SUM(DM46:DM48)</f>
        <v>8700</v>
      </c>
      <c r="DN45" s="240">
        <f t="shared" ref="DN45" si="591">SUM(DN46:DN48)</f>
        <v>8700</v>
      </c>
      <c r="DO45" s="240">
        <f t="shared" ref="DO45" si="592">SUM(DO46:DO48)</f>
        <v>104400</v>
      </c>
      <c r="DQ45" s="240">
        <f t="shared" ref="DQ45" si="593">SUM(DQ46:DQ48)</f>
        <v>25000</v>
      </c>
      <c r="DR45" s="240">
        <f t="shared" ref="DR45" si="594">SUM(DR46:DR48)</f>
        <v>25000</v>
      </c>
      <c r="DS45" s="240">
        <f t="shared" ref="DS45" si="595">SUM(DS46:DS48)</f>
        <v>25000</v>
      </c>
      <c r="DT45" s="240">
        <f t="shared" ref="DT45" si="596">SUM(DT46:DT48)</f>
        <v>25000</v>
      </c>
      <c r="DU45" s="240">
        <f t="shared" ref="DU45" si="597">SUM(DU46:DU48)</f>
        <v>25000</v>
      </c>
      <c r="DV45" s="240">
        <f t="shared" ref="DV45" si="598">SUM(DV46:DV48)</f>
        <v>25000</v>
      </c>
      <c r="DW45" s="240">
        <f t="shared" ref="DW45" si="599">SUM(DW46:DW48)</f>
        <v>25000</v>
      </c>
      <c r="DX45" s="240">
        <f t="shared" ref="DX45" si="600">SUM(DX46:DX48)</f>
        <v>25000</v>
      </c>
      <c r="DY45" s="240">
        <f t="shared" ref="DY45" si="601">SUM(DY46:DY48)</f>
        <v>25000</v>
      </c>
      <c r="DZ45" s="240">
        <f t="shared" ref="DZ45" si="602">SUM(DZ46:DZ48)</f>
        <v>25000</v>
      </c>
      <c r="EA45" s="240">
        <f t="shared" ref="EA45" si="603">SUM(EA46:EA48)</f>
        <v>25000</v>
      </c>
      <c r="EB45" s="240">
        <f t="shared" ref="EB45" si="604">SUM(EB46:EB48)</f>
        <v>25000</v>
      </c>
      <c r="EC45" s="240">
        <f t="shared" ref="EC45" si="605">SUM(EC46:EC48)</f>
        <v>300000</v>
      </c>
      <c r="EE45" s="240">
        <f t="shared" ref="EE45" si="606">SUM(EE46:EE48)</f>
        <v>1199853.6499999999</v>
      </c>
      <c r="EF45" s="240">
        <f t="shared" ref="EF45" si="607">SUM(EF46:EF48)</f>
        <v>1197433.6499999999</v>
      </c>
      <c r="EG45" s="240">
        <f t="shared" ref="EG45" si="608">SUM(EG46:EG48)</f>
        <v>1198643.6499999999</v>
      </c>
      <c r="EH45" s="240">
        <f t="shared" ref="EH45" si="609">SUM(EH46:EH48)</f>
        <v>1197433.6499999999</v>
      </c>
      <c r="EI45" s="240">
        <f t="shared" ref="EI45" si="610">SUM(EI46:EI48)</f>
        <v>1198643.6499999999</v>
      </c>
      <c r="EJ45" s="240">
        <f t="shared" ref="EJ45" si="611">SUM(EJ46:EJ48)</f>
        <v>1198643.6499999999</v>
      </c>
      <c r="EK45" s="240">
        <f t="shared" ref="EK45" si="612">SUM(EK46:EK48)</f>
        <v>1197433.6499999999</v>
      </c>
      <c r="EL45" s="240">
        <f t="shared" ref="EL45" si="613">SUM(EL46:EL48)</f>
        <v>1201063.6499999999</v>
      </c>
      <c r="EM45" s="240">
        <f t="shared" ref="EM45" si="614">SUM(EM46:EM48)</f>
        <v>1196223.6499999999</v>
      </c>
      <c r="EN45" s="240">
        <f t="shared" ref="EN45" si="615">SUM(EN46:EN48)</f>
        <v>1201063.6499999999</v>
      </c>
      <c r="EO45" s="240">
        <f t="shared" ref="EO45" si="616">SUM(EO46:EO48)</f>
        <v>1199853.6499999999</v>
      </c>
      <c r="EP45" s="240">
        <f t="shared" ref="EP45" si="617">SUM(EP46:EP48)</f>
        <v>1195013.6499999999</v>
      </c>
      <c r="EQ45" s="240">
        <f t="shared" ref="EQ45" si="618">SUM(EQ46:EQ48)</f>
        <v>14381303.799999999</v>
      </c>
    </row>
    <row r="46" spans="1:149" s="21" customFormat="1" ht="18.95" customHeight="1" outlineLevel="1">
      <c r="A46" s="21">
        <f t="shared" ref="A46:A48" si="619">SUM(B46:E46)</f>
        <v>2718640.2000000007</v>
      </c>
      <c r="B46" s="21">
        <f t="shared" ref="B46:B48" si="620">SUM(AI46,AW46,BK46,BY46,CM46)</f>
        <v>2651640.2000000007</v>
      </c>
      <c r="C46" s="21">
        <f t="shared" ref="C46:C48" si="621">DA46</f>
        <v>47000</v>
      </c>
      <c r="D46" s="21">
        <f t="shared" ref="D46:D48" si="622">DO46</f>
        <v>20000</v>
      </c>
      <c r="E46" s="21">
        <f t="shared" ref="E46:E48" si="623">EC46</f>
        <v>0</v>
      </c>
      <c r="F46" s="22">
        <v>2120</v>
      </c>
      <c r="G46" s="229" t="s">
        <v>86</v>
      </c>
      <c r="H46" s="23"/>
      <c r="I46" s="229"/>
      <c r="J46" s="23"/>
      <c r="K46" s="23"/>
      <c r="L46" s="23"/>
      <c r="M46" s="24"/>
      <c r="N46" s="25"/>
      <c r="O46" s="25"/>
      <c r="P46" s="126"/>
      <c r="Q46" s="126"/>
      <c r="R46" s="126"/>
      <c r="S46" s="129"/>
      <c r="T46" s="35"/>
      <c r="U46" s="25"/>
      <c r="V46" s="25"/>
      <c r="W46" s="25">
        <f t="shared" ref="W46:BB46" si="624">W38</f>
        <v>146025.00000000003</v>
      </c>
      <c r="X46" s="25">
        <f t="shared" si="624"/>
        <v>146025.00000000003</v>
      </c>
      <c r="Y46" s="25">
        <f t="shared" si="624"/>
        <v>146025.00000000003</v>
      </c>
      <c r="Z46" s="25">
        <f t="shared" si="624"/>
        <v>146025.00000000003</v>
      </c>
      <c r="AA46" s="25">
        <f t="shared" si="624"/>
        <v>146025.00000000003</v>
      </c>
      <c r="AB46" s="25">
        <f t="shared" si="624"/>
        <v>146025.00000000003</v>
      </c>
      <c r="AC46" s="25">
        <f t="shared" si="624"/>
        <v>146025.00000000003</v>
      </c>
      <c r="AD46" s="25">
        <f t="shared" si="624"/>
        <v>146025.00000000003</v>
      </c>
      <c r="AE46" s="25">
        <f t="shared" si="624"/>
        <v>146025.00000000003</v>
      </c>
      <c r="AF46" s="25">
        <f t="shared" si="624"/>
        <v>146025.00000000003</v>
      </c>
      <c r="AG46" s="25">
        <f t="shared" si="624"/>
        <v>146025.00000000003</v>
      </c>
      <c r="AH46" s="25">
        <f t="shared" si="624"/>
        <v>146025.00000000003</v>
      </c>
      <c r="AI46" s="25">
        <f t="shared" si="624"/>
        <v>1752300.0000000002</v>
      </c>
      <c r="AJ46" s="25">
        <f t="shared" si="624"/>
        <v>0</v>
      </c>
      <c r="AK46" s="25">
        <f t="shared" si="624"/>
        <v>14602.500000000004</v>
      </c>
      <c r="AL46" s="25">
        <f t="shared" si="624"/>
        <v>14602.500000000004</v>
      </c>
      <c r="AM46" s="25">
        <f t="shared" si="624"/>
        <v>14602.500000000004</v>
      </c>
      <c r="AN46" s="25">
        <f t="shared" si="624"/>
        <v>14602.500000000004</v>
      </c>
      <c r="AO46" s="25">
        <f t="shared" si="624"/>
        <v>14602.500000000004</v>
      </c>
      <c r="AP46" s="25">
        <f t="shared" si="624"/>
        <v>14602.500000000004</v>
      </c>
      <c r="AQ46" s="25">
        <f t="shared" si="624"/>
        <v>14602.500000000004</v>
      </c>
      <c r="AR46" s="25">
        <f t="shared" si="624"/>
        <v>14602.500000000004</v>
      </c>
      <c r="AS46" s="25">
        <f t="shared" si="624"/>
        <v>14602.500000000004</v>
      </c>
      <c r="AT46" s="25">
        <f t="shared" si="624"/>
        <v>14602.500000000004</v>
      </c>
      <c r="AU46" s="25">
        <f t="shared" si="624"/>
        <v>14602.500000000004</v>
      </c>
      <c r="AV46" s="25">
        <f t="shared" si="624"/>
        <v>14602.500000000004</v>
      </c>
      <c r="AW46" s="25">
        <f t="shared" si="624"/>
        <v>175230.00000000003</v>
      </c>
      <c r="AX46" s="25">
        <f t="shared" si="624"/>
        <v>0</v>
      </c>
      <c r="AY46" s="25">
        <f t="shared" si="624"/>
        <v>6050</v>
      </c>
      <c r="AZ46" s="25">
        <f t="shared" si="624"/>
        <v>5500</v>
      </c>
      <c r="BA46" s="25">
        <f t="shared" si="624"/>
        <v>5775</v>
      </c>
      <c r="BB46" s="25">
        <f t="shared" si="624"/>
        <v>5500</v>
      </c>
      <c r="BC46" s="25">
        <f t="shared" ref="BC46:CH46" si="625">BC38</f>
        <v>5775</v>
      </c>
      <c r="BD46" s="25">
        <f t="shared" si="625"/>
        <v>5775</v>
      </c>
      <c r="BE46" s="25">
        <f t="shared" si="625"/>
        <v>5500</v>
      </c>
      <c r="BF46" s="25">
        <f t="shared" si="625"/>
        <v>6325</v>
      </c>
      <c r="BG46" s="25">
        <f t="shared" si="625"/>
        <v>5225</v>
      </c>
      <c r="BH46" s="25">
        <f t="shared" si="625"/>
        <v>6325</v>
      </c>
      <c r="BI46" s="25">
        <f t="shared" si="625"/>
        <v>6050</v>
      </c>
      <c r="BJ46" s="25">
        <f t="shared" si="625"/>
        <v>4950</v>
      </c>
      <c r="BK46" s="25">
        <f t="shared" si="625"/>
        <v>68750</v>
      </c>
      <c r="BL46" s="25">
        <f t="shared" si="625"/>
        <v>0</v>
      </c>
      <c r="BM46" s="25">
        <f t="shared" si="625"/>
        <v>40156.875000000007</v>
      </c>
      <c r="BN46" s="25">
        <f t="shared" si="625"/>
        <v>40156.875000000007</v>
      </c>
      <c r="BO46" s="25">
        <f t="shared" si="625"/>
        <v>40156.875000000007</v>
      </c>
      <c r="BP46" s="25">
        <f t="shared" si="625"/>
        <v>40156.875000000007</v>
      </c>
      <c r="BQ46" s="25">
        <f t="shared" si="625"/>
        <v>40156.875000000007</v>
      </c>
      <c r="BR46" s="25">
        <f t="shared" si="625"/>
        <v>40156.875000000007</v>
      </c>
      <c r="BS46" s="25">
        <f t="shared" si="625"/>
        <v>40156.875000000007</v>
      </c>
      <c r="BT46" s="25">
        <f t="shared" si="625"/>
        <v>40156.875000000007</v>
      </c>
      <c r="BU46" s="25">
        <f t="shared" si="625"/>
        <v>40156.875000000007</v>
      </c>
      <c r="BV46" s="25">
        <f t="shared" si="625"/>
        <v>40156.875000000007</v>
      </c>
      <c r="BW46" s="25">
        <f t="shared" si="625"/>
        <v>40156.875000000007</v>
      </c>
      <c r="BX46" s="25">
        <f t="shared" si="625"/>
        <v>40156.875000000007</v>
      </c>
      <c r="BY46" s="25">
        <f t="shared" si="625"/>
        <v>481882.50000000006</v>
      </c>
      <c r="BZ46" s="25">
        <f t="shared" si="625"/>
        <v>0</v>
      </c>
      <c r="CA46" s="25">
        <f t="shared" si="625"/>
        <v>14456.475000000002</v>
      </c>
      <c r="CB46" s="25">
        <f t="shared" si="625"/>
        <v>14456.475000000002</v>
      </c>
      <c r="CC46" s="25">
        <f t="shared" si="625"/>
        <v>14456.475000000002</v>
      </c>
      <c r="CD46" s="25">
        <f t="shared" si="625"/>
        <v>14456.475000000002</v>
      </c>
      <c r="CE46" s="25">
        <f t="shared" si="625"/>
        <v>14456.475000000002</v>
      </c>
      <c r="CF46" s="25">
        <f t="shared" si="625"/>
        <v>14456.475000000002</v>
      </c>
      <c r="CG46" s="25">
        <f t="shared" si="625"/>
        <v>14456.475000000002</v>
      </c>
      <c r="CH46" s="25">
        <f t="shared" si="625"/>
        <v>14456.475000000002</v>
      </c>
      <c r="CI46" s="25">
        <f t="shared" ref="CI46:DN46" si="626">CI38</f>
        <v>14456.475000000002</v>
      </c>
      <c r="CJ46" s="25">
        <f t="shared" si="626"/>
        <v>14456.475000000002</v>
      </c>
      <c r="CK46" s="25">
        <f t="shared" si="626"/>
        <v>14456.475000000002</v>
      </c>
      <c r="CL46" s="25">
        <f t="shared" si="626"/>
        <v>14456.475000000002</v>
      </c>
      <c r="CM46" s="25">
        <f t="shared" si="626"/>
        <v>173477.70000000004</v>
      </c>
      <c r="CN46" s="25">
        <f t="shared" si="626"/>
        <v>0</v>
      </c>
      <c r="CO46" s="25">
        <f t="shared" si="626"/>
        <v>0</v>
      </c>
      <c r="CP46" s="25">
        <f t="shared" si="626"/>
        <v>0</v>
      </c>
      <c r="CQ46" s="25">
        <f t="shared" si="626"/>
        <v>3000</v>
      </c>
      <c r="CR46" s="25">
        <f t="shared" si="626"/>
        <v>0</v>
      </c>
      <c r="CS46" s="25">
        <f t="shared" si="626"/>
        <v>22000</v>
      </c>
      <c r="CT46" s="25">
        <f t="shared" si="626"/>
        <v>0</v>
      </c>
      <c r="CU46" s="25">
        <f t="shared" si="626"/>
        <v>0</v>
      </c>
      <c r="CV46" s="25">
        <f t="shared" si="626"/>
        <v>0</v>
      </c>
      <c r="CW46" s="25">
        <f t="shared" si="626"/>
        <v>0</v>
      </c>
      <c r="CX46" s="25">
        <f t="shared" si="626"/>
        <v>0</v>
      </c>
      <c r="CY46" s="25">
        <f t="shared" si="626"/>
        <v>22000</v>
      </c>
      <c r="CZ46" s="25">
        <f t="shared" si="626"/>
        <v>0</v>
      </c>
      <c r="DA46" s="25">
        <f t="shared" si="626"/>
        <v>47000</v>
      </c>
      <c r="DB46" s="25">
        <f t="shared" si="626"/>
        <v>0</v>
      </c>
      <c r="DC46" s="25">
        <f t="shared" si="626"/>
        <v>1666.6666666666665</v>
      </c>
      <c r="DD46" s="25">
        <f t="shared" si="626"/>
        <v>1666.6666666666665</v>
      </c>
      <c r="DE46" s="25">
        <f t="shared" si="626"/>
        <v>1666.6666666666665</v>
      </c>
      <c r="DF46" s="25">
        <f t="shared" si="626"/>
        <v>1666.6666666666665</v>
      </c>
      <c r="DG46" s="25">
        <f t="shared" si="626"/>
        <v>1666.6666666666665</v>
      </c>
      <c r="DH46" s="25">
        <f t="shared" si="626"/>
        <v>1666.6666666666665</v>
      </c>
      <c r="DI46" s="25">
        <f t="shared" si="626"/>
        <v>1666.6666666666665</v>
      </c>
      <c r="DJ46" s="25">
        <f t="shared" si="626"/>
        <v>1666.6666666666665</v>
      </c>
      <c r="DK46" s="25">
        <f t="shared" si="626"/>
        <v>1666.6666666666665</v>
      </c>
      <c r="DL46" s="25">
        <f t="shared" si="626"/>
        <v>1666.6666666666665</v>
      </c>
      <c r="DM46" s="25">
        <f t="shared" si="626"/>
        <v>1666.6666666666665</v>
      </c>
      <c r="DN46" s="25">
        <f t="shared" si="626"/>
        <v>1666.6666666666665</v>
      </c>
      <c r="DO46" s="25">
        <f t="shared" ref="DO46:EQ46" si="627">DO38</f>
        <v>20000</v>
      </c>
      <c r="DP46" s="25">
        <f t="shared" si="627"/>
        <v>0</v>
      </c>
      <c r="DQ46" s="25">
        <f t="shared" si="627"/>
        <v>0</v>
      </c>
      <c r="DR46" s="25">
        <f t="shared" si="627"/>
        <v>0</v>
      </c>
      <c r="DS46" s="25">
        <f t="shared" si="627"/>
        <v>0</v>
      </c>
      <c r="DT46" s="25">
        <f t="shared" si="627"/>
        <v>0</v>
      </c>
      <c r="DU46" s="25">
        <f t="shared" si="627"/>
        <v>0</v>
      </c>
      <c r="DV46" s="25">
        <f t="shared" si="627"/>
        <v>0</v>
      </c>
      <c r="DW46" s="25">
        <f t="shared" si="627"/>
        <v>0</v>
      </c>
      <c r="DX46" s="25">
        <f t="shared" si="627"/>
        <v>0</v>
      </c>
      <c r="DY46" s="25">
        <f t="shared" si="627"/>
        <v>0</v>
      </c>
      <c r="DZ46" s="25">
        <f t="shared" si="627"/>
        <v>0</v>
      </c>
      <c r="EA46" s="25">
        <f t="shared" si="627"/>
        <v>0</v>
      </c>
      <c r="EB46" s="25">
        <f t="shared" si="627"/>
        <v>0</v>
      </c>
      <c r="EC46" s="25">
        <f t="shared" si="627"/>
        <v>0</v>
      </c>
      <c r="ED46" s="25">
        <f t="shared" si="627"/>
        <v>0</v>
      </c>
      <c r="EE46" s="25">
        <f t="shared" si="627"/>
        <v>221290.85000000003</v>
      </c>
      <c r="EF46" s="25">
        <f t="shared" si="627"/>
        <v>220740.85000000003</v>
      </c>
      <c r="EG46" s="25">
        <f t="shared" si="627"/>
        <v>221015.85000000003</v>
      </c>
      <c r="EH46" s="25">
        <f t="shared" si="627"/>
        <v>220740.85000000003</v>
      </c>
      <c r="EI46" s="25">
        <f t="shared" si="627"/>
        <v>221015.85000000003</v>
      </c>
      <c r="EJ46" s="25">
        <f t="shared" si="627"/>
        <v>221015.85000000003</v>
      </c>
      <c r="EK46" s="25">
        <f t="shared" si="627"/>
        <v>220740.85000000003</v>
      </c>
      <c r="EL46" s="25">
        <f t="shared" si="627"/>
        <v>221565.85000000003</v>
      </c>
      <c r="EM46" s="25">
        <f t="shared" si="627"/>
        <v>220465.85000000003</v>
      </c>
      <c r="EN46" s="25">
        <f t="shared" si="627"/>
        <v>221565.85000000003</v>
      </c>
      <c r="EO46" s="25">
        <f t="shared" si="627"/>
        <v>221290.85000000003</v>
      </c>
      <c r="EP46" s="25">
        <f t="shared" si="627"/>
        <v>220190.85000000003</v>
      </c>
      <c r="EQ46" s="25">
        <f t="shared" si="627"/>
        <v>2651640.2000000007</v>
      </c>
      <c r="ER46" s="25">
        <f>0.44*Výrobky!AG5</f>
        <v>2332000</v>
      </c>
      <c r="ES46" s="21">
        <f>ER46-EQ46</f>
        <v>-319640.20000000065</v>
      </c>
    </row>
    <row r="47" spans="1:149" s="21" customFormat="1" ht="18.95" customHeight="1" outlineLevel="1">
      <c r="A47" s="21">
        <f t="shared" si="619"/>
        <v>7843905.5999999996</v>
      </c>
      <c r="B47" s="21">
        <f t="shared" si="620"/>
        <v>7759905.5999999996</v>
      </c>
      <c r="C47" s="21">
        <f t="shared" si="621"/>
        <v>36000</v>
      </c>
      <c r="D47" s="21">
        <f t="shared" si="622"/>
        <v>48000.000000000007</v>
      </c>
      <c r="E47" s="21">
        <f t="shared" si="623"/>
        <v>0</v>
      </c>
      <c r="F47" s="22">
        <v>2220</v>
      </c>
      <c r="G47" s="229" t="s">
        <v>90</v>
      </c>
      <c r="H47" s="23"/>
      <c r="I47" s="229"/>
      <c r="J47" s="23"/>
      <c r="K47" s="23"/>
      <c r="L47" s="23"/>
      <c r="M47" s="24"/>
      <c r="N47" s="25"/>
      <c r="O47" s="25"/>
      <c r="P47" s="126"/>
      <c r="Q47" s="126"/>
      <c r="R47" s="126"/>
      <c r="S47" s="129"/>
      <c r="T47" s="35"/>
      <c r="U47" s="25"/>
      <c r="V47" s="25"/>
      <c r="W47" s="25">
        <f t="shared" ref="W47:BB47" si="628">SUM(W42:W43,W39)</f>
        <v>393600</v>
      </c>
      <c r="X47" s="25">
        <f t="shared" si="628"/>
        <v>393600</v>
      </c>
      <c r="Y47" s="25">
        <f t="shared" si="628"/>
        <v>393600</v>
      </c>
      <c r="Z47" s="25">
        <f t="shared" si="628"/>
        <v>393600</v>
      </c>
      <c r="AA47" s="25">
        <f t="shared" si="628"/>
        <v>393600</v>
      </c>
      <c r="AB47" s="25">
        <f t="shared" si="628"/>
        <v>393600</v>
      </c>
      <c r="AC47" s="25">
        <f t="shared" si="628"/>
        <v>393600</v>
      </c>
      <c r="AD47" s="25">
        <f t="shared" si="628"/>
        <v>393600</v>
      </c>
      <c r="AE47" s="25">
        <f t="shared" si="628"/>
        <v>393600</v>
      </c>
      <c r="AF47" s="25">
        <f t="shared" si="628"/>
        <v>393600</v>
      </c>
      <c r="AG47" s="25">
        <f t="shared" si="628"/>
        <v>393600</v>
      </c>
      <c r="AH47" s="25">
        <f t="shared" si="628"/>
        <v>393600</v>
      </c>
      <c r="AI47" s="25">
        <f t="shared" si="628"/>
        <v>4723200</v>
      </c>
      <c r="AJ47" s="25">
        <f t="shared" si="628"/>
        <v>0</v>
      </c>
      <c r="AK47" s="25">
        <f t="shared" si="628"/>
        <v>78720</v>
      </c>
      <c r="AL47" s="25">
        <f t="shared" si="628"/>
        <v>78720</v>
      </c>
      <c r="AM47" s="25">
        <f t="shared" si="628"/>
        <v>78720</v>
      </c>
      <c r="AN47" s="25">
        <f t="shared" si="628"/>
        <v>78720</v>
      </c>
      <c r="AO47" s="25">
        <f t="shared" si="628"/>
        <v>78720</v>
      </c>
      <c r="AP47" s="25">
        <f t="shared" si="628"/>
        <v>78720</v>
      </c>
      <c r="AQ47" s="25">
        <f t="shared" si="628"/>
        <v>78720</v>
      </c>
      <c r="AR47" s="25">
        <f t="shared" si="628"/>
        <v>78720</v>
      </c>
      <c r="AS47" s="25">
        <f t="shared" si="628"/>
        <v>78720</v>
      </c>
      <c r="AT47" s="25">
        <f t="shared" si="628"/>
        <v>78720</v>
      </c>
      <c r="AU47" s="25">
        <f t="shared" si="628"/>
        <v>78720</v>
      </c>
      <c r="AV47" s="25">
        <f t="shared" si="628"/>
        <v>78720</v>
      </c>
      <c r="AW47" s="25">
        <f t="shared" si="628"/>
        <v>944640</v>
      </c>
      <c r="AX47" s="25">
        <f t="shared" si="628"/>
        <v>0</v>
      </c>
      <c r="AY47" s="25">
        <f t="shared" si="628"/>
        <v>14520</v>
      </c>
      <c r="AZ47" s="25">
        <f t="shared" si="628"/>
        <v>13200</v>
      </c>
      <c r="BA47" s="25">
        <f t="shared" si="628"/>
        <v>13860</v>
      </c>
      <c r="BB47" s="25">
        <f t="shared" si="628"/>
        <v>13200</v>
      </c>
      <c r="BC47" s="25">
        <f t="shared" ref="BC47:CH47" si="629">SUM(BC42:BC43,BC39)</f>
        <v>13860</v>
      </c>
      <c r="BD47" s="25">
        <f t="shared" si="629"/>
        <v>13860</v>
      </c>
      <c r="BE47" s="25">
        <f t="shared" si="629"/>
        <v>13200</v>
      </c>
      <c r="BF47" s="25">
        <f t="shared" si="629"/>
        <v>15180</v>
      </c>
      <c r="BG47" s="25">
        <f t="shared" si="629"/>
        <v>12540</v>
      </c>
      <c r="BH47" s="25">
        <f t="shared" si="629"/>
        <v>15180</v>
      </c>
      <c r="BI47" s="25">
        <f t="shared" si="629"/>
        <v>14520</v>
      </c>
      <c r="BJ47" s="25">
        <f t="shared" si="629"/>
        <v>11880</v>
      </c>
      <c r="BK47" s="25">
        <f t="shared" si="629"/>
        <v>165000</v>
      </c>
      <c r="BL47" s="25">
        <f t="shared" si="629"/>
        <v>0</v>
      </c>
      <c r="BM47" s="25">
        <f t="shared" si="629"/>
        <v>118080</v>
      </c>
      <c r="BN47" s="25">
        <f t="shared" si="629"/>
        <v>118080</v>
      </c>
      <c r="BO47" s="25">
        <f t="shared" si="629"/>
        <v>118080</v>
      </c>
      <c r="BP47" s="25">
        <f t="shared" si="629"/>
        <v>118080</v>
      </c>
      <c r="BQ47" s="25">
        <f t="shared" si="629"/>
        <v>118080</v>
      </c>
      <c r="BR47" s="25">
        <f t="shared" si="629"/>
        <v>118080</v>
      </c>
      <c r="BS47" s="25">
        <f t="shared" si="629"/>
        <v>118080</v>
      </c>
      <c r="BT47" s="25">
        <f t="shared" si="629"/>
        <v>118080</v>
      </c>
      <c r="BU47" s="25">
        <f t="shared" si="629"/>
        <v>118080</v>
      </c>
      <c r="BV47" s="25">
        <f t="shared" si="629"/>
        <v>118080</v>
      </c>
      <c r="BW47" s="25">
        <f t="shared" si="629"/>
        <v>118080</v>
      </c>
      <c r="BX47" s="25">
        <f t="shared" si="629"/>
        <v>118080</v>
      </c>
      <c r="BY47" s="25">
        <f t="shared" si="629"/>
        <v>1416960</v>
      </c>
      <c r="BZ47" s="25">
        <f t="shared" si="629"/>
        <v>0</v>
      </c>
      <c r="CA47" s="25">
        <f t="shared" si="629"/>
        <v>42508.799999999996</v>
      </c>
      <c r="CB47" s="25">
        <f t="shared" si="629"/>
        <v>42508.799999999996</v>
      </c>
      <c r="CC47" s="25">
        <f t="shared" si="629"/>
        <v>42508.799999999996</v>
      </c>
      <c r="CD47" s="25">
        <f t="shared" si="629"/>
        <v>42508.799999999996</v>
      </c>
      <c r="CE47" s="25">
        <f t="shared" si="629"/>
        <v>42508.799999999996</v>
      </c>
      <c r="CF47" s="25">
        <f t="shared" si="629"/>
        <v>42508.799999999996</v>
      </c>
      <c r="CG47" s="25">
        <f t="shared" si="629"/>
        <v>42508.799999999996</v>
      </c>
      <c r="CH47" s="25">
        <f t="shared" si="629"/>
        <v>42508.799999999996</v>
      </c>
      <c r="CI47" s="25">
        <f t="shared" ref="CI47:DN47" si="630">SUM(CI42:CI43,CI39)</f>
        <v>42508.799999999996</v>
      </c>
      <c r="CJ47" s="25">
        <f t="shared" si="630"/>
        <v>42508.799999999996</v>
      </c>
      <c r="CK47" s="25">
        <f t="shared" si="630"/>
        <v>42508.799999999996</v>
      </c>
      <c r="CL47" s="25">
        <f t="shared" si="630"/>
        <v>42508.799999999996</v>
      </c>
      <c r="CM47" s="25">
        <f t="shared" si="630"/>
        <v>510105.59999999992</v>
      </c>
      <c r="CN47" s="25">
        <f t="shared" si="630"/>
        <v>0</v>
      </c>
      <c r="CO47" s="25">
        <f t="shared" si="630"/>
        <v>0</v>
      </c>
      <c r="CP47" s="25">
        <f t="shared" si="630"/>
        <v>0</v>
      </c>
      <c r="CQ47" s="25">
        <f t="shared" si="630"/>
        <v>36000</v>
      </c>
      <c r="CR47" s="25">
        <f t="shared" si="630"/>
        <v>0</v>
      </c>
      <c r="CS47" s="25">
        <f t="shared" si="630"/>
        <v>0</v>
      </c>
      <c r="CT47" s="25">
        <f t="shared" si="630"/>
        <v>0</v>
      </c>
      <c r="CU47" s="25">
        <f t="shared" si="630"/>
        <v>0</v>
      </c>
      <c r="CV47" s="25">
        <f t="shared" si="630"/>
        <v>0</v>
      </c>
      <c r="CW47" s="25">
        <f t="shared" si="630"/>
        <v>0</v>
      </c>
      <c r="CX47" s="25">
        <f t="shared" si="630"/>
        <v>0</v>
      </c>
      <c r="CY47" s="25">
        <f t="shared" si="630"/>
        <v>0</v>
      </c>
      <c r="CZ47" s="25">
        <f t="shared" si="630"/>
        <v>0</v>
      </c>
      <c r="DA47" s="25">
        <f t="shared" si="630"/>
        <v>36000</v>
      </c>
      <c r="DB47" s="25">
        <f t="shared" si="630"/>
        <v>0</v>
      </c>
      <c r="DC47" s="25">
        <f t="shared" si="630"/>
        <v>4000.0000000000005</v>
      </c>
      <c r="DD47" s="25">
        <f t="shared" si="630"/>
        <v>4000.0000000000005</v>
      </c>
      <c r="DE47" s="25">
        <f t="shared" si="630"/>
        <v>4000.0000000000005</v>
      </c>
      <c r="DF47" s="25">
        <f t="shared" si="630"/>
        <v>4000.0000000000005</v>
      </c>
      <c r="DG47" s="25">
        <f t="shared" si="630"/>
        <v>4000.0000000000005</v>
      </c>
      <c r="DH47" s="25">
        <f t="shared" si="630"/>
        <v>4000.0000000000005</v>
      </c>
      <c r="DI47" s="25">
        <f t="shared" si="630"/>
        <v>4000.0000000000005</v>
      </c>
      <c r="DJ47" s="25">
        <f t="shared" si="630"/>
        <v>4000.0000000000005</v>
      </c>
      <c r="DK47" s="25">
        <f t="shared" si="630"/>
        <v>4000.0000000000005</v>
      </c>
      <c r="DL47" s="25">
        <f t="shared" si="630"/>
        <v>4000.0000000000005</v>
      </c>
      <c r="DM47" s="25">
        <f t="shared" si="630"/>
        <v>4000.0000000000005</v>
      </c>
      <c r="DN47" s="25">
        <f t="shared" si="630"/>
        <v>4000.0000000000005</v>
      </c>
      <c r="DO47" s="25">
        <f t="shared" ref="DO47:EQ47" si="631">SUM(DO42:DO43,DO39)</f>
        <v>48000.000000000007</v>
      </c>
      <c r="DP47" s="25">
        <f t="shared" si="631"/>
        <v>0</v>
      </c>
      <c r="DQ47" s="25">
        <f t="shared" si="631"/>
        <v>0</v>
      </c>
      <c r="DR47" s="25">
        <f t="shared" si="631"/>
        <v>0</v>
      </c>
      <c r="DS47" s="25">
        <f t="shared" si="631"/>
        <v>0</v>
      </c>
      <c r="DT47" s="25">
        <f t="shared" si="631"/>
        <v>0</v>
      </c>
      <c r="DU47" s="25">
        <f t="shared" si="631"/>
        <v>0</v>
      </c>
      <c r="DV47" s="25">
        <f t="shared" si="631"/>
        <v>0</v>
      </c>
      <c r="DW47" s="25">
        <f t="shared" si="631"/>
        <v>0</v>
      </c>
      <c r="DX47" s="25">
        <f t="shared" si="631"/>
        <v>0</v>
      </c>
      <c r="DY47" s="25">
        <f t="shared" si="631"/>
        <v>0</v>
      </c>
      <c r="DZ47" s="25">
        <f t="shared" si="631"/>
        <v>0</v>
      </c>
      <c r="EA47" s="25">
        <f t="shared" si="631"/>
        <v>0</v>
      </c>
      <c r="EB47" s="25">
        <f t="shared" si="631"/>
        <v>0</v>
      </c>
      <c r="EC47" s="25">
        <f t="shared" si="631"/>
        <v>0</v>
      </c>
      <c r="ED47" s="25">
        <f t="shared" si="631"/>
        <v>0</v>
      </c>
      <c r="EE47" s="25">
        <f t="shared" si="631"/>
        <v>647428.79999999993</v>
      </c>
      <c r="EF47" s="25">
        <f t="shared" si="631"/>
        <v>646108.79999999993</v>
      </c>
      <c r="EG47" s="25">
        <f t="shared" si="631"/>
        <v>646768.79999999993</v>
      </c>
      <c r="EH47" s="25">
        <f t="shared" si="631"/>
        <v>646108.79999999993</v>
      </c>
      <c r="EI47" s="25">
        <f t="shared" si="631"/>
        <v>646768.79999999993</v>
      </c>
      <c r="EJ47" s="25">
        <f t="shared" si="631"/>
        <v>646768.79999999993</v>
      </c>
      <c r="EK47" s="25">
        <f t="shared" si="631"/>
        <v>646108.79999999993</v>
      </c>
      <c r="EL47" s="25">
        <f t="shared" si="631"/>
        <v>648088.79999999993</v>
      </c>
      <c r="EM47" s="25">
        <f t="shared" si="631"/>
        <v>645448.79999999993</v>
      </c>
      <c r="EN47" s="25">
        <f t="shared" si="631"/>
        <v>648088.79999999993</v>
      </c>
      <c r="EO47" s="25">
        <f t="shared" si="631"/>
        <v>647428.79999999993</v>
      </c>
      <c r="EP47" s="25">
        <f t="shared" si="631"/>
        <v>644788.79999999993</v>
      </c>
      <c r="EQ47" s="25">
        <f t="shared" si="631"/>
        <v>7759905.5999999987</v>
      </c>
      <c r="ER47" s="25">
        <f>Služby!AG5*0.55</f>
        <v>7862213.3919457132</v>
      </c>
      <c r="ES47" s="364">
        <f t="shared" ref="ES47:ES48" si="632">ER47-EQ47</f>
        <v>102307.7919457145</v>
      </c>
    </row>
    <row r="48" spans="1:149" s="21" customFormat="1" ht="18.95" customHeight="1" outlineLevel="1">
      <c r="A48" s="21">
        <f t="shared" si="619"/>
        <v>4376158</v>
      </c>
      <c r="B48" s="21">
        <f t="shared" si="620"/>
        <v>3969758</v>
      </c>
      <c r="C48" s="21">
        <f t="shared" si="621"/>
        <v>70000</v>
      </c>
      <c r="D48" s="21">
        <f t="shared" si="622"/>
        <v>36400</v>
      </c>
      <c r="E48" s="21">
        <f t="shared" si="623"/>
        <v>300000</v>
      </c>
      <c r="F48" s="22">
        <v>5210</v>
      </c>
      <c r="G48" s="229" t="s">
        <v>115</v>
      </c>
      <c r="H48" s="23"/>
      <c r="I48" s="229"/>
      <c r="J48" s="23"/>
      <c r="K48" s="23"/>
      <c r="L48" s="23"/>
      <c r="M48" s="24"/>
      <c r="N48" s="25"/>
      <c r="O48" s="25"/>
      <c r="P48" s="126"/>
      <c r="Q48" s="126"/>
      <c r="R48" s="126"/>
      <c r="S48" s="129"/>
      <c r="T48" s="35"/>
      <c r="U48" s="25"/>
      <c r="V48" s="25"/>
      <c r="W48" s="25">
        <f>SUM(W32:W38,W40,W41)-W46</f>
        <v>213999.99999999997</v>
      </c>
      <c r="X48" s="25">
        <f t="shared" ref="X48:CI48" si="633">SUM(X32:X38,X40,X41)-X46</f>
        <v>213999.99999999997</v>
      </c>
      <c r="Y48" s="25">
        <f t="shared" si="633"/>
        <v>213999.99999999997</v>
      </c>
      <c r="Z48" s="25">
        <f t="shared" si="633"/>
        <v>213999.99999999997</v>
      </c>
      <c r="AA48" s="25">
        <f t="shared" si="633"/>
        <v>213999.99999999997</v>
      </c>
      <c r="AB48" s="25">
        <f t="shared" si="633"/>
        <v>213999.99999999997</v>
      </c>
      <c r="AC48" s="25">
        <f t="shared" si="633"/>
        <v>213999.99999999997</v>
      </c>
      <c r="AD48" s="25">
        <f t="shared" si="633"/>
        <v>213999.99999999997</v>
      </c>
      <c r="AE48" s="25">
        <f t="shared" si="633"/>
        <v>213999.99999999997</v>
      </c>
      <c r="AF48" s="25">
        <f t="shared" si="633"/>
        <v>213999.99999999997</v>
      </c>
      <c r="AG48" s="25">
        <f t="shared" si="633"/>
        <v>213999.99999999997</v>
      </c>
      <c r="AH48" s="25">
        <f t="shared" si="633"/>
        <v>213999.99999999997</v>
      </c>
      <c r="AI48" s="25">
        <f t="shared" si="633"/>
        <v>2568000</v>
      </c>
      <c r="AJ48" s="25">
        <f t="shared" si="633"/>
        <v>0</v>
      </c>
      <c r="AK48" s="25">
        <f t="shared" si="633"/>
        <v>28599.999999999996</v>
      </c>
      <c r="AL48" s="25">
        <f t="shared" si="633"/>
        <v>28599.999999999996</v>
      </c>
      <c r="AM48" s="25">
        <f t="shared" si="633"/>
        <v>28599.999999999996</v>
      </c>
      <c r="AN48" s="25">
        <f t="shared" si="633"/>
        <v>28599.999999999996</v>
      </c>
      <c r="AO48" s="25">
        <f t="shared" si="633"/>
        <v>28599.999999999996</v>
      </c>
      <c r="AP48" s="25">
        <f t="shared" si="633"/>
        <v>28599.999999999996</v>
      </c>
      <c r="AQ48" s="25">
        <f t="shared" si="633"/>
        <v>28599.999999999996</v>
      </c>
      <c r="AR48" s="25">
        <f t="shared" si="633"/>
        <v>28599.999999999996</v>
      </c>
      <c r="AS48" s="25">
        <f t="shared" si="633"/>
        <v>28599.999999999996</v>
      </c>
      <c r="AT48" s="25">
        <f t="shared" si="633"/>
        <v>28599.999999999996</v>
      </c>
      <c r="AU48" s="25">
        <f t="shared" si="633"/>
        <v>28599.999999999996</v>
      </c>
      <c r="AV48" s="25">
        <f t="shared" si="633"/>
        <v>28599.999999999996</v>
      </c>
      <c r="AW48" s="25">
        <f t="shared" si="633"/>
        <v>343200</v>
      </c>
      <c r="AX48" s="25">
        <f t="shared" si="633"/>
        <v>0</v>
      </c>
      <c r="AY48" s="25">
        <f t="shared" si="633"/>
        <v>6050</v>
      </c>
      <c r="AZ48" s="25">
        <f t="shared" si="633"/>
        <v>5500</v>
      </c>
      <c r="BA48" s="25">
        <f t="shared" si="633"/>
        <v>5775</v>
      </c>
      <c r="BB48" s="25">
        <f t="shared" si="633"/>
        <v>5500</v>
      </c>
      <c r="BC48" s="25">
        <f t="shared" si="633"/>
        <v>5775</v>
      </c>
      <c r="BD48" s="25">
        <f t="shared" si="633"/>
        <v>5775</v>
      </c>
      <c r="BE48" s="25">
        <f t="shared" si="633"/>
        <v>5500</v>
      </c>
      <c r="BF48" s="25">
        <f t="shared" si="633"/>
        <v>6325</v>
      </c>
      <c r="BG48" s="25">
        <f t="shared" si="633"/>
        <v>5225</v>
      </c>
      <c r="BH48" s="25">
        <f t="shared" si="633"/>
        <v>6325</v>
      </c>
      <c r="BI48" s="25">
        <f t="shared" si="633"/>
        <v>6050</v>
      </c>
      <c r="BJ48" s="25">
        <f t="shared" si="633"/>
        <v>4950</v>
      </c>
      <c r="BK48" s="25">
        <f t="shared" si="633"/>
        <v>68750</v>
      </c>
      <c r="BL48" s="25">
        <f t="shared" si="633"/>
        <v>0</v>
      </c>
      <c r="BM48" s="25">
        <f t="shared" si="633"/>
        <v>60649.999999999993</v>
      </c>
      <c r="BN48" s="25">
        <f t="shared" si="633"/>
        <v>60649.999999999993</v>
      </c>
      <c r="BO48" s="25">
        <f t="shared" si="633"/>
        <v>60649.999999999993</v>
      </c>
      <c r="BP48" s="25">
        <f t="shared" si="633"/>
        <v>60649.999999999993</v>
      </c>
      <c r="BQ48" s="25">
        <f t="shared" si="633"/>
        <v>60649.999999999993</v>
      </c>
      <c r="BR48" s="25">
        <f t="shared" si="633"/>
        <v>60649.999999999993</v>
      </c>
      <c r="BS48" s="25">
        <f t="shared" si="633"/>
        <v>60649.999999999993</v>
      </c>
      <c r="BT48" s="25">
        <f t="shared" si="633"/>
        <v>60649.999999999993</v>
      </c>
      <c r="BU48" s="25">
        <f t="shared" si="633"/>
        <v>60649.999999999993</v>
      </c>
      <c r="BV48" s="25">
        <f t="shared" si="633"/>
        <v>60649.999999999993</v>
      </c>
      <c r="BW48" s="25">
        <f t="shared" si="633"/>
        <v>60649.999999999993</v>
      </c>
      <c r="BX48" s="25">
        <f t="shared" si="633"/>
        <v>60649.999999999993</v>
      </c>
      <c r="BY48" s="25">
        <f t="shared" si="633"/>
        <v>727800</v>
      </c>
      <c r="BZ48" s="25">
        <f t="shared" si="633"/>
        <v>0</v>
      </c>
      <c r="CA48" s="25">
        <f t="shared" si="633"/>
        <v>21834.000000000004</v>
      </c>
      <c r="CB48" s="25">
        <f t="shared" si="633"/>
        <v>21834.000000000004</v>
      </c>
      <c r="CC48" s="25">
        <f t="shared" si="633"/>
        <v>21834.000000000004</v>
      </c>
      <c r="CD48" s="25">
        <f t="shared" si="633"/>
        <v>21834.000000000004</v>
      </c>
      <c r="CE48" s="25">
        <f t="shared" si="633"/>
        <v>21834.000000000004</v>
      </c>
      <c r="CF48" s="25">
        <f t="shared" si="633"/>
        <v>21834.000000000004</v>
      </c>
      <c r="CG48" s="25">
        <f t="shared" si="633"/>
        <v>21834.000000000004</v>
      </c>
      <c r="CH48" s="25">
        <f t="shared" si="633"/>
        <v>21834.000000000004</v>
      </c>
      <c r="CI48" s="25">
        <f t="shared" si="633"/>
        <v>21834.000000000004</v>
      </c>
      <c r="CJ48" s="25">
        <f t="shared" ref="CJ48:EQ48" si="634">SUM(CJ32:CJ38,CJ40,CJ41)-CJ46</f>
        <v>21834.000000000004</v>
      </c>
      <c r="CK48" s="25">
        <f t="shared" si="634"/>
        <v>21834.000000000004</v>
      </c>
      <c r="CL48" s="25">
        <f t="shared" si="634"/>
        <v>21834.000000000004</v>
      </c>
      <c r="CM48" s="25">
        <f t="shared" si="634"/>
        <v>262008.00000000003</v>
      </c>
      <c r="CN48" s="25">
        <f t="shared" si="634"/>
        <v>0</v>
      </c>
      <c r="CO48" s="25">
        <f t="shared" si="634"/>
        <v>0</v>
      </c>
      <c r="CP48" s="25">
        <f t="shared" si="634"/>
        <v>0</v>
      </c>
      <c r="CQ48" s="25">
        <f t="shared" si="634"/>
        <v>0</v>
      </c>
      <c r="CR48" s="25">
        <f t="shared" si="634"/>
        <v>0</v>
      </c>
      <c r="CS48" s="25">
        <f t="shared" si="634"/>
        <v>35000</v>
      </c>
      <c r="CT48" s="25">
        <f t="shared" si="634"/>
        <v>0</v>
      </c>
      <c r="CU48" s="25">
        <f t="shared" si="634"/>
        <v>0</v>
      </c>
      <c r="CV48" s="25">
        <f t="shared" si="634"/>
        <v>0</v>
      </c>
      <c r="CW48" s="25">
        <f t="shared" si="634"/>
        <v>0</v>
      </c>
      <c r="CX48" s="25">
        <f t="shared" si="634"/>
        <v>0</v>
      </c>
      <c r="CY48" s="25">
        <f t="shared" si="634"/>
        <v>35000</v>
      </c>
      <c r="CZ48" s="25">
        <f t="shared" si="634"/>
        <v>0</v>
      </c>
      <c r="DA48" s="25">
        <f t="shared" si="634"/>
        <v>70000</v>
      </c>
      <c r="DB48" s="25">
        <f t="shared" si="634"/>
        <v>0</v>
      </c>
      <c r="DC48" s="25">
        <f t="shared" si="634"/>
        <v>3033.3333333333326</v>
      </c>
      <c r="DD48" s="25">
        <f t="shared" si="634"/>
        <v>3033.3333333333326</v>
      </c>
      <c r="DE48" s="25">
        <f t="shared" si="634"/>
        <v>3033.3333333333326</v>
      </c>
      <c r="DF48" s="25">
        <f t="shared" si="634"/>
        <v>3033.3333333333326</v>
      </c>
      <c r="DG48" s="25">
        <f t="shared" si="634"/>
        <v>3033.3333333333326</v>
      </c>
      <c r="DH48" s="25">
        <f t="shared" si="634"/>
        <v>3033.3333333333326</v>
      </c>
      <c r="DI48" s="25">
        <f t="shared" si="634"/>
        <v>3033.3333333333326</v>
      </c>
      <c r="DJ48" s="25">
        <f t="shared" si="634"/>
        <v>3033.3333333333326</v>
      </c>
      <c r="DK48" s="25">
        <f t="shared" si="634"/>
        <v>3033.3333333333326</v>
      </c>
      <c r="DL48" s="25">
        <f t="shared" si="634"/>
        <v>3033.3333333333326</v>
      </c>
      <c r="DM48" s="25">
        <f t="shared" si="634"/>
        <v>3033.3333333333326</v>
      </c>
      <c r="DN48" s="25">
        <f t="shared" si="634"/>
        <v>3033.3333333333326</v>
      </c>
      <c r="DO48" s="25">
        <f t="shared" si="634"/>
        <v>36400</v>
      </c>
      <c r="DP48" s="25">
        <f t="shared" si="634"/>
        <v>0</v>
      </c>
      <c r="DQ48" s="25">
        <f t="shared" si="634"/>
        <v>25000</v>
      </c>
      <c r="DR48" s="25">
        <f t="shared" si="634"/>
        <v>25000</v>
      </c>
      <c r="DS48" s="25">
        <f t="shared" si="634"/>
        <v>25000</v>
      </c>
      <c r="DT48" s="25">
        <f t="shared" si="634"/>
        <v>25000</v>
      </c>
      <c r="DU48" s="25">
        <f t="shared" si="634"/>
        <v>25000</v>
      </c>
      <c r="DV48" s="25">
        <f t="shared" si="634"/>
        <v>25000</v>
      </c>
      <c r="DW48" s="25">
        <f t="shared" si="634"/>
        <v>25000</v>
      </c>
      <c r="DX48" s="25">
        <f t="shared" si="634"/>
        <v>25000</v>
      </c>
      <c r="DY48" s="25">
        <f t="shared" si="634"/>
        <v>25000</v>
      </c>
      <c r="DZ48" s="25">
        <f t="shared" si="634"/>
        <v>25000</v>
      </c>
      <c r="EA48" s="25">
        <f t="shared" si="634"/>
        <v>25000</v>
      </c>
      <c r="EB48" s="25">
        <f t="shared" si="634"/>
        <v>25000</v>
      </c>
      <c r="EC48" s="25">
        <f t="shared" si="634"/>
        <v>300000</v>
      </c>
      <c r="ED48" s="25">
        <f t="shared" si="634"/>
        <v>0</v>
      </c>
      <c r="EE48" s="25">
        <f t="shared" si="634"/>
        <v>331134.00000000006</v>
      </c>
      <c r="EF48" s="25">
        <f t="shared" si="634"/>
        <v>330584.00000000006</v>
      </c>
      <c r="EG48" s="25">
        <f t="shared" si="634"/>
        <v>330859.00000000006</v>
      </c>
      <c r="EH48" s="25">
        <f t="shared" si="634"/>
        <v>330584.00000000006</v>
      </c>
      <c r="EI48" s="25">
        <f t="shared" si="634"/>
        <v>330859.00000000006</v>
      </c>
      <c r="EJ48" s="25">
        <f t="shared" si="634"/>
        <v>330859.00000000006</v>
      </c>
      <c r="EK48" s="25">
        <f t="shared" si="634"/>
        <v>330584.00000000006</v>
      </c>
      <c r="EL48" s="25">
        <f t="shared" si="634"/>
        <v>331409.00000000006</v>
      </c>
      <c r="EM48" s="25">
        <f t="shared" si="634"/>
        <v>330309.00000000006</v>
      </c>
      <c r="EN48" s="25">
        <f t="shared" si="634"/>
        <v>331409.00000000006</v>
      </c>
      <c r="EO48" s="25">
        <f t="shared" si="634"/>
        <v>331134.00000000006</v>
      </c>
      <c r="EP48" s="25">
        <f t="shared" si="634"/>
        <v>330034.00000000006</v>
      </c>
      <c r="EQ48" s="25">
        <f t="shared" si="634"/>
        <v>3969758.0000000005</v>
      </c>
      <c r="ER48" s="25">
        <f>'PLAN 2018'!S53</f>
        <v>3977376.9999999963</v>
      </c>
      <c r="ES48" s="364">
        <f t="shared" si="632"/>
        <v>7618.999999995809</v>
      </c>
    </row>
    <row r="51" spans="14:14">
      <c r="N51" s="34">
        <v>5</v>
      </c>
    </row>
  </sheetData>
  <autoFilter ref="H5:M43">
    <filterColumn colId="1">
      <filters>
        <filter val="Výroba"/>
      </filters>
    </filterColumn>
  </autoFilter>
  <sortState ref="A6:ES20">
    <sortCondition ref="H6:H20"/>
    <sortCondition ref="L6:L20"/>
  </sortState>
  <printOptions horizontalCentered="1" verticalCentered="1"/>
  <pageMargins left="0.36000000000000004" right="0.36000000000000004" top="0.8" bottom="0.8" header="0.30000000000000004" footer="0.30000000000000004"/>
  <pageSetup paperSize="8" scale="73" fitToHeight="2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N73"/>
  <sheetViews>
    <sheetView showGridLines="0" workbookViewId="0">
      <pane xSplit="7" ySplit="5" topLeftCell="L6" activePane="bottomRight" state="frozen"/>
      <selection activeCell="BM36" sqref="BM36"/>
      <selection pane="topRight" activeCell="BM36" sqref="BM36"/>
      <selection pane="bottomLeft" activeCell="BM36" sqref="BM36"/>
      <selection pane="bottomRight" activeCell="G8" sqref="G8"/>
    </sheetView>
  </sheetViews>
  <sheetFormatPr defaultColWidth="10.85546875" defaultRowHeight="15" outlineLevelRow="1" outlineLevelCol="1"/>
  <cols>
    <col min="1" max="1" width="14.85546875" style="301" customWidth="1"/>
    <col min="2" max="2" width="11.85546875" style="302" customWidth="1"/>
    <col min="3" max="3" width="20.140625" style="302" bestFit="1" customWidth="1" collapsed="1"/>
    <col min="4" max="4" width="10" style="302" bestFit="1" customWidth="1"/>
    <col min="5" max="5" width="17.7109375" style="302" customWidth="1"/>
    <col min="6" max="6" width="13" style="303" customWidth="1"/>
    <col min="7" max="7" width="21.28515625" style="303" bestFit="1" customWidth="1"/>
    <col min="8" max="8" width="11.140625" style="302" customWidth="1" outlineLevel="1"/>
    <col min="9" max="9" width="13" style="302" customWidth="1" outlineLevel="1"/>
    <col min="10" max="10" width="7.85546875" style="302" customWidth="1" outlineLevel="1" collapsed="1"/>
    <col min="11" max="11" width="7.7109375" style="302" customWidth="1" outlineLevel="1" collapsed="1"/>
    <col min="12" max="12" width="9" style="302" customWidth="1" outlineLevel="1"/>
    <col min="13" max="13" width="9.42578125" style="302" customWidth="1" outlineLevel="1"/>
    <col min="14" max="14" width="7.7109375" style="302" customWidth="1" outlineLevel="1" collapsed="1"/>
    <col min="15" max="15" width="10.140625" style="302" customWidth="1" outlineLevel="1"/>
    <col min="16" max="16" width="9.42578125" style="302" customWidth="1" outlineLevel="1"/>
    <col min="17" max="17" width="10.42578125" style="302" customWidth="1" outlineLevel="1"/>
    <col min="18" max="18" width="2.28515625" style="301" customWidth="1"/>
    <col min="19" max="19" width="13.28515625" style="268" hidden="1" customWidth="1" outlineLevel="1"/>
    <col min="20" max="30" width="10.140625" style="268" hidden="1" customWidth="1" outlineLevel="1"/>
    <col min="31" max="31" width="14.140625" style="268" customWidth="1" collapsed="1"/>
    <col min="32" max="32" width="2.28515625" style="301" customWidth="1" collapsed="1"/>
    <col min="33" max="33" width="13.28515625" style="268" hidden="1" customWidth="1" outlineLevel="1"/>
    <col min="34" max="44" width="10.140625" style="268" hidden="1" customWidth="1" outlineLevel="1"/>
    <col min="45" max="45" width="11.28515625" style="268" bestFit="1" customWidth="1" collapsed="1"/>
    <col min="46" max="46" width="2.28515625" style="301" customWidth="1" collapsed="1"/>
    <col min="47" max="47" width="13.28515625" style="268" hidden="1" customWidth="1" outlineLevel="1"/>
    <col min="48" max="58" width="10.140625" style="268" hidden="1" customWidth="1" outlineLevel="1"/>
    <col min="59" max="59" width="12.7109375" style="268" customWidth="1" collapsed="1"/>
    <col min="60" max="60" width="2.28515625" style="301" customWidth="1" collapsed="1"/>
    <col min="61" max="61" width="13.28515625" style="268" hidden="1" customWidth="1" outlineLevel="1"/>
    <col min="62" max="72" width="10.140625" style="268" hidden="1" customWidth="1" outlineLevel="1"/>
    <col min="73" max="73" width="11.42578125" style="268" customWidth="1" collapsed="1"/>
    <col min="74" max="74" width="2.28515625" style="301" customWidth="1" collapsed="1"/>
    <col min="75" max="75" width="11.28515625" style="268" hidden="1" customWidth="1" outlineLevel="1"/>
    <col min="76" max="86" width="10.140625" style="268" hidden="1" customWidth="1" outlineLevel="1"/>
    <col min="87" max="87" width="12.28515625" style="268" customWidth="1" collapsed="1"/>
    <col min="88" max="88" width="2.28515625" style="301" customWidth="1" collapsed="1"/>
    <col min="89" max="89" width="11.42578125" style="268" hidden="1" customWidth="1" outlineLevel="1"/>
    <col min="90" max="100" width="10.140625" style="268" hidden="1" customWidth="1" outlineLevel="1"/>
    <col min="101" max="101" width="11.42578125" style="268" bestFit="1" customWidth="1" collapsed="1"/>
    <col min="102" max="102" width="2.28515625" style="301" customWidth="1" collapsed="1"/>
    <col min="103" max="114" width="10.140625" style="268" hidden="1" customWidth="1" outlineLevel="1"/>
    <col min="115" max="115" width="12.7109375" style="268" customWidth="1" collapsed="1"/>
    <col min="116" max="116" width="2.28515625" style="301" customWidth="1" collapsed="1"/>
    <col min="117" max="128" width="10.140625" style="268" hidden="1" customWidth="1" outlineLevel="1"/>
    <col min="129" max="129" width="11" style="268" customWidth="1" collapsed="1"/>
    <col min="130" max="130" width="2.28515625" style="301" customWidth="1" collapsed="1"/>
    <col min="131" max="142" width="10.140625" style="268" hidden="1" customWidth="1" outlineLevel="1"/>
    <col min="143" max="143" width="15.42578125" style="268" customWidth="1" collapsed="1"/>
    <col min="144" max="16384" width="10.85546875" style="301"/>
  </cols>
  <sheetData>
    <row r="1" spans="1:144" s="265" customFormat="1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2"/>
      <c r="S1" s="263">
        <v>43101</v>
      </c>
      <c r="T1" s="263">
        <v>43132</v>
      </c>
      <c r="U1" s="263">
        <v>43160</v>
      </c>
      <c r="V1" s="263">
        <v>43191</v>
      </c>
      <c r="W1" s="263">
        <v>43221</v>
      </c>
      <c r="X1" s="263">
        <v>43252</v>
      </c>
      <c r="Y1" s="263">
        <v>43282</v>
      </c>
      <c r="Z1" s="263">
        <v>43313</v>
      </c>
      <c r="AA1" s="263">
        <v>43344</v>
      </c>
      <c r="AB1" s="263">
        <v>43374</v>
      </c>
      <c r="AC1" s="263">
        <v>43405</v>
      </c>
      <c r="AD1" s="263">
        <v>43435</v>
      </c>
      <c r="AE1" s="264">
        <v>2018</v>
      </c>
      <c r="AF1" s="262"/>
      <c r="AG1" s="263">
        <v>43101</v>
      </c>
      <c r="AH1" s="263">
        <v>43132</v>
      </c>
      <c r="AI1" s="263">
        <v>43160</v>
      </c>
      <c r="AJ1" s="263">
        <v>43191</v>
      </c>
      <c r="AK1" s="263">
        <v>43221</v>
      </c>
      <c r="AL1" s="263">
        <v>43252</v>
      </c>
      <c r="AM1" s="263">
        <v>43282</v>
      </c>
      <c r="AN1" s="263">
        <v>43313</v>
      </c>
      <c r="AO1" s="263">
        <v>43344</v>
      </c>
      <c r="AP1" s="263">
        <v>43374</v>
      </c>
      <c r="AQ1" s="263">
        <v>43405</v>
      </c>
      <c r="AR1" s="263">
        <v>43435</v>
      </c>
      <c r="AS1" s="264">
        <v>2018</v>
      </c>
      <c r="AT1" s="262"/>
      <c r="AU1" s="263">
        <v>43101</v>
      </c>
      <c r="AV1" s="263">
        <v>43132</v>
      </c>
      <c r="AW1" s="263">
        <v>43160</v>
      </c>
      <c r="AX1" s="263">
        <v>43191</v>
      </c>
      <c r="AY1" s="263">
        <v>43221</v>
      </c>
      <c r="AZ1" s="263">
        <v>43252</v>
      </c>
      <c r="BA1" s="263">
        <v>43282</v>
      </c>
      <c r="BB1" s="263">
        <v>43313</v>
      </c>
      <c r="BC1" s="263">
        <v>43344</v>
      </c>
      <c r="BD1" s="263">
        <v>43374</v>
      </c>
      <c r="BE1" s="263">
        <v>43405</v>
      </c>
      <c r="BF1" s="263">
        <v>43435</v>
      </c>
      <c r="BG1" s="264">
        <v>2018</v>
      </c>
      <c r="BH1" s="262"/>
      <c r="BI1" s="263">
        <v>43101</v>
      </c>
      <c r="BJ1" s="263">
        <v>43132</v>
      </c>
      <c r="BK1" s="263">
        <v>43160</v>
      </c>
      <c r="BL1" s="263">
        <v>43191</v>
      </c>
      <c r="BM1" s="263">
        <v>43221</v>
      </c>
      <c r="BN1" s="263">
        <v>43252</v>
      </c>
      <c r="BO1" s="263">
        <v>43282</v>
      </c>
      <c r="BP1" s="263">
        <v>43313</v>
      </c>
      <c r="BQ1" s="263">
        <v>43344</v>
      </c>
      <c r="BR1" s="263">
        <v>43374</v>
      </c>
      <c r="BS1" s="263">
        <v>43405</v>
      </c>
      <c r="BT1" s="263">
        <v>43435</v>
      </c>
      <c r="BU1" s="264">
        <v>2018</v>
      </c>
      <c r="BV1" s="262"/>
      <c r="BW1" s="263">
        <v>43101</v>
      </c>
      <c r="BX1" s="263">
        <v>43132</v>
      </c>
      <c r="BY1" s="263">
        <v>43160</v>
      </c>
      <c r="BZ1" s="263">
        <v>43191</v>
      </c>
      <c r="CA1" s="263">
        <v>43221</v>
      </c>
      <c r="CB1" s="263">
        <v>43252</v>
      </c>
      <c r="CC1" s="263">
        <v>43282</v>
      </c>
      <c r="CD1" s="263">
        <v>43313</v>
      </c>
      <c r="CE1" s="263">
        <v>43344</v>
      </c>
      <c r="CF1" s="263">
        <v>43374</v>
      </c>
      <c r="CG1" s="263">
        <v>43405</v>
      </c>
      <c r="CH1" s="263">
        <v>43435</v>
      </c>
      <c r="CI1" s="264">
        <v>2018</v>
      </c>
      <c r="CJ1" s="262"/>
      <c r="CK1" s="263">
        <v>43101</v>
      </c>
      <c r="CL1" s="263">
        <v>43132</v>
      </c>
      <c r="CM1" s="263">
        <v>43160</v>
      </c>
      <c r="CN1" s="263">
        <v>43191</v>
      </c>
      <c r="CO1" s="263">
        <v>43221</v>
      </c>
      <c r="CP1" s="263">
        <v>43252</v>
      </c>
      <c r="CQ1" s="263">
        <v>43282</v>
      </c>
      <c r="CR1" s="263">
        <v>43313</v>
      </c>
      <c r="CS1" s="263">
        <v>43344</v>
      </c>
      <c r="CT1" s="263">
        <v>43374</v>
      </c>
      <c r="CU1" s="263">
        <v>43405</v>
      </c>
      <c r="CV1" s="263">
        <v>43435</v>
      </c>
      <c r="CW1" s="264">
        <v>2018</v>
      </c>
      <c r="CX1" s="262"/>
      <c r="CY1" s="263">
        <v>43101</v>
      </c>
      <c r="CZ1" s="263">
        <v>43132</v>
      </c>
      <c r="DA1" s="263">
        <v>43160</v>
      </c>
      <c r="DB1" s="263">
        <v>43191</v>
      </c>
      <c r="DC1" s="263">
        <v>43221</v>
      </c>
      <c r="DD1" s="263">
        <v>43252</v>
      </c>
      <c r="DE1" s="263">
        <v>43282</v>
      </c>
      <c r="DF1" s="263">
        <v>43313</v>
      </c>
      <c r="DG1" s="263">
        <v>43344</v>
      </c>
      <c r="DH1" s="263">
        <v>43374</v>
      </c>
      <c r="DI1" s="263">
        <v>43405</v>
      </c>
      <c r="DJ1" s="263">
        <v>43435</v>
      </c>
      <c r="DK1" s="264">
        <v>2018</v>
      </c>
      <c r="DL1" s="262"/>
      <c r="DM1" s="263">
        <v>43101</v>
      </c>
      <c r="DN1" s="263">
        <v>43132</v>
      </c>
      <c r="DO1" s="263">
        <v>43160</v>
      </c>
      <c r="DP1" s="263">
        <v>43191</v>
      </c>
      <c r="DQ1" s="263">
        <v>43221</v>
      </c>
      <c r="DR1" s="263">
        <v>43252</v>
      </c>
      <c r="DS1" s="263">
        <v>43282</v>
      </c>
      <c r="DT1" s="263">
        <v>43313</v>
      </c>
      <c r="DU1" s="263">
        <v>43344</v>
      </c>
      <c r="DV1" s="263">
        <v>43374</v>
      </c>
      <c r="DW1" s="263">
        <v>43405</v>
      </c>
      <c r="DX1" s="263">
        <v>43435</v>
      </c>
      <c r="DY1" s="264">
        <v>2018</v>
      </c>
      <c r="DZ1" s="262"/>
      <c r="EA1" s="263">
        <v>43101</v>
      </c>
      <c r="EB1" s="263">
        <v>43132</v>
      </c>
      <c r="EC1" s="263">
        <v>43160</v>
      </c>
      <c r="ED1" s="263">
        <v>43191</v>
      </c>
      <c r="EE1" s="263">
        <v>43221</v>
      </c>
      <c r="EF1" s="263">
        <v>43252</v>
      </c>
      <c r="EG1" s="263">
        <v>43282</v>
      </c>
      <c r="EH1" s="263">
        <v>43313</v>
      </c>
      <c r="EI1" s="263">
        <v>43344</v>
      </c>
      <c r="EJ1" s="263">
        <v>43374</v>
      </c>
      <c r="EK1" s="263">
        <v>43405</v>
      </c>
      <c r="EL1" s="263">
        <v>43435</v>
      </c>
      <c r="EM1" s="264">
        <v>2018</v>
      </c>
    </row>
    <row r="2" spans="1:144" s="265" customFormat="1" ht="8.25" customHeight="1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  <c r="S2" s="266">
        <v>551</v>
      </c>
      <c r="T2" s="266">
        <v>551</v>
      </c>
      <c r="U2" s="266">
        <v>551</v>
      </c>
      <c r="V2" s="266">
        <v>551</v>
      </c>
      <c r="W2" s="266">
        <v>551</v>
      </c>
      <c r="X2" s="266">
        <v>551</v>
      </c>
      <c r="Y2" s="266">
        <v>551</v>
      </c>
      <c r="Z2" s="266">
        <v>551</v>
      </c>
      <c r="AA2" s="266">
        <v>551</v>
      </c>
      <c r="AB2" s="266">
        <v>551</v>
      </c>
      <c r="AC2" s="266">
        <v>551</v>
      </c>
      <c r="AD2" s="266">
        <v>551</v>
      </c>
      <c r="AE2" s="266">
        <v>551</v>
      </c>
      <c r="AF2" s="262"/>
      <c r="AG2" s="266" t="s">
        <v>20</v>
      </c>
      <c r="AH2" s="266" t="s">
        <v>20</v>
      </c>
      <c r="AI2" s="266" t="s">
        <v>20</v>
      </c>
      <c r="AJ2" s="266" t="s">
        <v>20</v>
      </c>
      <c r="AK2" s="266" t="s">
        <v>20</v>
      </c>
      <c r="AL2" s="266" t="s">
        <v>20</v>
      </c>
      <c r="AM2" s="266" t="s">
        <v>20</v>
      </c>
      <c r="AN2" s="266" t="s">
        <v>20</v>
      </c>
      <c r="AO2" s="266" t="s">
        <v>20</v>
      </c>
      <c r="AP2" s="266" t="s">
        <v>20</v>
      </c>
      <c r="AQ2" s="266" t="s">
        <v>20</v>
      </c>
      <c r="AR2" s="266" t="s">
        <v>20</v>
      </c>
      <c r="AS2" s="266">
        <v>518</v>
      </c>
      <c r="AT2" s="262"/>
      <c r="AU2" s="266" t="s">
        <v>21</v>
      </c>
      <c r="AV2" s="266" t="s">
        <v>21</v>
      </c>
      <c r="AW2" s="266" t="s">
        <v>21</v>
      </c>
      <c r="AX2" s="266" t="s">
        <v>21</v>
      </c>
      <c r="AY2" s="266" t="s">
        <v>21</v>
      </c>
      <c r="AZ2" s="266" t="s">
        <v>21</v>
      </c>
      <c r="BA2" s="266" t="s">
        <v>21</v>
      </c>
      <c r="BB2" s="266" t="s">
        <v>21</v>
      </c>
      <c r="BC2" s="266" t="s">
        <v>21</v>
      </c>
      <c r="BD2" s="266" t="s">
        <v>21</v>
      </c>
      <c r="BE2" s="266" t="s">
        <v>21</v>
      </c>
      <c r="BF2" s="266" t="s">
        <v>21</v>
      </c>
      <c r="BG2" s="266">
        <v>501004</v>
      </c>
      <c r="BH2" s="262"/>
      <c r="BI2" s="266">
        <v>531</v>
      </c>
      <c r="BJ2" s="266">
        <v>531</v>
      </c>
      <c r="BK2" s="266">
        <v>531</v>
      </c>
      <c r="BL2" s="266">
        <v>531</v>
      </c>
      <c r="BM2" s="266">
        <v>531</v>
      </c>
      <c r="BN2" s="266">
        <v>531</v>
      </c>
      <c r="BO2" s="266">
        <v>531</v>
      </c>
      <c r="BP2" s="266">
        <v>531</v>
      </c>
      <c r="BQ2" s="266">
        <v>531</v>
      </c>
      <c r="BR2" s="266">
        <v>531</v>
      </c>
      <c r="BS2" s="266">
        <v>531</v>
      </c>
      <c r="BT2" s="266">
        <v>531</v>
      </c>
      <c r="BU2" s="266">
        <v>531000</v>
      </c>
      <c r="BV2" s="262"/>
      <c r="BW2" s="266" t="s">
        <v>22</v>
      </c>
      <c r="BX2" s="266" t="s">
        <v>22</v>
      </c>
      <c r="BY2" s="266" t="s">
        <v>22</v>
      </c>
      <c r="BZ2" s="266" t="s">
        <v>22</v>
      </c>
      <c r="CA2" s="266" t="s">
        <v>22</v>
      </c>
      <c r="CB2" s="266" t="s">
        <v>22</v>
      </c>
      <c r="CC2" s="266" t="s">
        <v>22</v>
      </c>
      <c r="CD2" s="266" t="s">
        <v>22</v>
      </c>
      <c r="CE2" s="266" t="s">
        <v>22</v>
      </c>
      <c r="CF2" s="266" t="s">
        <v>22</v>
      </c>
      <c r="CG2" s="266" t="s">
        <v>22</v>
      </c>
      <c r="CH2" s="266" t="s">
        <v>22</v>
      </c>
      <c r="CI2" s="266">
        <v>511002</v>
      </c>
      <c r="CJ2" s="262"/>
      <c r="CK2" s="266" t="s">
        <v>233</v>
      </c>
      <c r="CL2" s="266" t="s">
        <v>233</v>
      </c>
      <c r="CM2" s="266" t="s">
        <v>233</v>
      </c>
      <c r="CN2" s="266" t="s">
        <v>233</v>
      </c>
      <c r="CO2" s="266" t="s">
        <v>233</v>
      </c>
      <c r="CP2" s="266" t="s">
        <v>233</v>
      </c>
      <c r="CQ2" s="266" t="s">
        <v>233</v>
      </c>
      <c r="CR2" s="266" t="s">
        <v>233</v>
      </c>
      <c r="CS2" s="266" t="s">
        <v>233</v>
      </c>
      <c r="CT2" s="266" t="s">
        <v>233</v>
      </c>
      <c r="CU2" s="266" t="s">
        <v>233</v>
      </c>
      <c r="CV2" s="266" t="s">
        <v>233</v>
      </c>
      <c r="CW2" s="266" t="s">
        <v>233</v>
      </c>
      <c r="CX2" s="262"/>
      <c r="CY2" s="266" t="s">
        <v>19</v>
      </c>
      <c r="CZ2" s="266" t="s">
        <v>19</v>
      </c>
      <c r="DA2" s="266" t="s">
        <v>19</v>
      </c>
      <c r="DB2" s="266" t="s">
        <v>19</v>
      </c>
      <c r="DC2" s="266" t="s">
        <v>19</v>
      </c>
      <c r="DD2" s="266" t="s">
        <v>19</v>
      </c>
      <c r="DE2" s="266" t="s">
        <v>19</v>
      </c>
      <c r="DF2" s="266" t="s">
        <v>19</v>
      </c>
      <c r="DG2" s="266" t="s">
        <v>19</v>
      </c>
      <c r="DH2" s="266" t="s">
        <v>19</v>
      </c>
      <c r="DI2" s="266" t="s">
        <v>19</v>
      </c>
      <c r="DJ2" s="266" t="s">
        <v>19</v>
      </c>
      <c r="DK2" s="266" t="s">
        <v>23</v>
      </c>
      <c r="DL2" s="262"/>
      <c r="DM2" s="266">
        <v>501005</v>
      </c>
      <c r="DN2" s="266">
        <v>501005</v>
      </c>
      <c r="DO2" s="266">
        <v>501005</v>
      </c>
      <c r="DP2" s="266">
        <v>501005</v>
      </c>
      <c r="DQ2" s="266">
        <v>501005</v>
      </c>
      <c r="DR2" s="266">
        <v>501005</v>
      </c>
      <c r="DS2" s="266">
        <v>501005</v>
      </c>
      <c r="DT2" s="266">
        <v>501005</v>
      </c>
      <c r="DU2" s="266">
        <v>501005</v>
      </c>
      <c r="DV2" s="266">
        <v>501005</v>
      </c>
      <c r="DW2" s="266">
        <v>501005</v>
      </c>
      <c r="DX2" s="266">
        <v>501005</v>
      </c>
      <c r="DY2" s="266">
        <v>501005</v>
      </c>
      <c r="DZ2" s="262"/>
      <c r="EA2" s="266" t="s">
        <v>235</v>
      </c>
      <c r="EB2" s="266" t="s">
        <v>235</v>
      </c>
      <c r="EC2" s="266" t="s">
        <v>235</v>
      </c>
      <c r="ED2" s="266" t="s">
        <v>235</v>
      </c>
      <c r="EE2" s="266" t="s">
        <v>235</v>
      </c>
      <c r="EF2" s="266" t="s">
        <v>235</v>
      </c>
      <c r="EG2" s="266" t="s">
        <v>235</v>
      </c>
      <c r="EH2" s="266" t="s">
        <v>235</v>
      </c>
      <c r="EI2" s="266" t="s">
        <v>235</v>
      </c>
      <c r="EJ2" s="266" t="s">
        <v>235</v>
      </c>
      <c r="EK2" s="266" t="s">
        <v>235</v>
      </c>
      <c r="EL2" s="266" t="s">
        <v>235</v>
      </c>
      <c r="EM2" s="266" t="s">
        <v>235</v>
      </c>
    </row>
    <row r="3" spans="1:144" s="265" customFormat="1">
      <c r="A3" s="267" t="s">
        <v>11</v>
      </c>
      <c r="B3" s="261"/>
      <c r="C3" s="261"/>
      <c r="D3" s="268"/>
      <c r="E3" s="268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2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2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2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2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2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2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2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2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2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</row>
    <row r="4" spans="1:144" s="275" customFormat="1" ht="48.75" customHeight="1">
      <c r="A4" s="269" t="s">
        <v>25</v>
      </c>
      <c r="B4" s="270" t="s">
        <v>30</v>
      </c>
      <c r="C4" s="270" t="s">
        <v>31</v>
      </c>
      <c r="D4" s="270" t="s">
        <v>157</v>
      </c>
      <c r="E4" s="270" t="s">
        <v>152</v>
      </c>
      <c r="F4" s="271" t="s">
        <v>138</v>
      </c>
      <c r="G4" s="271" t="s">
        <v>139</v>
      </c>
      <c r="H4" s="272" t="s">
        <v>32</v>
      </c>
      <c r="I4" s="272" t="s">
        <v>33</v>
      </c>
      <c r="J4" s="272" t="s">
        <v>34</v>
      </c>
      <c r="K4" s="272" t="s">
        <v>35</v>
      </c>
      <c r="L4" s="272" t="s">
        <v>36</v>
      </c>
      <c r="M4" s="272" t="s">
        <v>37</v>
      </c>
      <c r="N4" s="272" t="s">
        <v>38</v>
      </c>
      <c r="O4" s="272" t="s">
        <v>39</v>
      </c>
      <c r="P4" s="272" t="s">
        <v>234</v>
      </c>
      <c r="Q4" s="272" t="s">
        <v>40</v>
      </c>
      <c r="R4" s="273"/>
      <c r="S4" s="274" t="s">
        <v>32</v>
      </c>
      <c r="T4" s="274" t="s">
        <v>32</v>
      </c>
      <c r="U4" s="274" t="s">
        <v>32</v>
      </c>
      <c r="V4" s="274" t="s">
        <v>32</v>
      </c>
      <c r="W4" s="274" t="s">
        <v>32</v>
      </c>
      <c r="X4" s="274" t="s">
        <v>32</v>
      </c>
      <c r="Y4" s="274" t="s">
        <v>32</v>
      </c>
      <c r="Z4" s="274" t="s">
        <v>32</v>
      </c>
      <c r="AA4" s="274" t="s">
        <v>32</v>
      </c>
      <c r="AB4" s="274" t="s">
        <v>32</v>
      </c>
      <c r="AC4" s="274" t="s">
        <v>32</v>
      </c>
      <c r="AD4" s="274" t="s">
        <v>32</v>
      </c>
      <c r="AE4" s="274" t="s">
        <v>32</v>
      </c>
      <c r="AF4" s="273"/>
      <c r="AG4" s="274" t="s">
        <v>45</v>
      </c>
      <c r="AH4" s="274" t="s">
        <v>45</v>
      </c>
      <c r="AI4" s="274" t="s">
        <v>45</v>
      </c>
      <c r="AJ4" s="274" t="s">
        <v>45</v>
      </c>
      <c r="AK4" s="274" t="s">
        <v>45</v>
      </c>
      <c r="AL4" s="274" t="s">
        <v>45</v>
      </c>
      <c r="AM4" s="274" t="s">
        <v>45</v>
      </c>
      <c r="AN4" s="274" t="s">
        <v>45</v>
      </c>
      <c r="AO4" s="274" t="s">
        <v>45</v>
      </c>
      <c r="AP4" s="274" t="s">
        <v>45</v>
      </c>
      <c r="AQ4" s="274" t="s">
        <v>45</v>
      </c>
      <c r="AR4" s="274" t="s">
        <v>45</v>
      </c>
      <c r="AS4" s="274" t="s">
        <v>45</v>
      </c>
      <c r="AT4" s="273"/>
      <c r="AU4" s="274" t="s">
        <v>46</v>
      </c>
      <c r="AV4" s="274" t="s">
        <v>46</v>
      </c>
      <c r="AW4" s="274" t="s">
        <v>46</v>
      </c>
      <c r="AX4" s="274" t="s">
        <v>46</v>
      </c>
      <c r="AY4" s="274" t="s">
        <v>46</v>
      </c>
      <c r="AZ4" s="274" t="s">
        <v>46</v>
      </c>
      <c r="BA4" s="274" t="s">
        <v>46</v>
      </c>
      <c r="BB4" s="274" t="s">
        <v>46</v>
      </c>
      <c r="BC4" s="274" t="s">
        <v>46</v>
      </c>
      <c r="BD4" s="274" t="s">
        <v>46</v>
      </c>
      <c r="BE4" s="274" t="s">
        <v>46</v>
      </c>
      <c r="BF4" s="274" t="s">
        <v>46</v>
      </c>
      <c r="BG4" s="274" t="s">
        <v>46</v>
      </c>
      <c r="BH4" s="273"/>
      <c r="BI4" s="274" t="s">
        <v>38</v>
      </c>
      <c r="BJ4" s="274" t="s">
        <v>38</v>
      </c>
      <c r="BK4" s="274" t="s">
        <v>38</v>
      </c>
      <c r="BL4" s="274" t="s">
        <v>38</v>
      </c>
      <c r="BM4" s="274" t="s">
        <v>38</v>
      </c>
      <c r="BN4" s="274" t="s">
        <v>38</v>
      </c>
      <c r="BO4" s="274" t="s">
        <v>38</v>
      </c>
      <c r="BP4" s="274" t="s">
        <v>38</v>
      </c>
      <c r="BQ4" s="274" t="s">
        <v>38</v>
      </c>
      <c r="BR4" s="274" t="s">
        <v>38</v>
      </c>
      <c r="BS4" s="274" t="s">
        <v>38</v>
      </c>
      <c r="BT4" s="274" t="s">
        <v>38</v>
      </c>
      <c r="BU4" s="274" t="s">
        <v>38</v>
      </c>
      <c r="BV4" s="273"/>
      <c r="BW4" s="274" t="s">
        <v>47</v>
      </c>
      <c r="BX4" s="274" t="s">
        <v>47</v>
      </c>
      <c r="BY4" s="274" t="s">
        <v>47</v>
      </c>
      <c r="BZ4" s="274" t="s">
        <v>47</v>
      </c>
      <c r="CA4" s="274" t="s">
        <v>47</v>
      </c>
      <c r="CB4" s="274" t="s">
        <v>47</v>
      </c>
      <c r="CC4" s="274" t="s">
        <v>47</v>
      </c>
      <c r="CD4" s="274" t="s">
        <v>47</v>
      </c>
      <c r="CE4" s="274" t="s">
        <v>47</v>
      </c>
      <c r="CF4" s="274" t="s">
        <v>47</v>
      </c>
      <c r="CG4" s="274" t="s">
        <v>47</v>
      </c>
      <c r="CH4" s="274" t="s">
        <v>47</v>
      </c>
      <c r="CI4" s="274" t="s">
        <v>47</v>
      </c>
      <c r="CJ4" s="273"/>
      <c r="CK4" s="274" t="s">
        <v>48</v>
      </c>
      <c r="CL4" s="274" t="s">
        <v>48</v>
      </c>
      <c r="CM4" s="274" t="s">
        <v>48</v>
      </c>
      <c r="CN4" s="274" t="s">
        <v>48</v>
      </c>
      <c r="CO4" s="274" t="s">
        <v>48</v>
      </c>
      <c r="CP4" s="274" t="s">
        <v>48</v>
      </c>
      <c r="CQ4" s="274" t="s">
        <v>48</v>
      </c>
      <c r="CR4" s="274" t="s">
        <v>48</v>
      </c>
      <c r="CS4" s="274" t="s">
        <v>48</v>
      </c>
      <c r="CT4" s="274" t="s">
        <v>48</v>
      </c>
      <c r="CU4" s="274" t="s">
        <v>48</v>
      </c>
      <c r="CV4" s="274" t="s">
        <v>48</v>
      </c>
      <c r="CW4" s="274" t="s">
        <v>48</v>
      </c>
      <c r="CX4" s="273"/>
      <c r="CY4" s="274" t="s">
        <v>49</v>
      </c>
      <c r="CZ4" s="274" t="s">
        <v>49</v>
      </c>
      <c r="DA4" s="274" t="s">
        <v>49</v>
      </c>
      <c r="DB4" s="274" t="s">
        <v>49</v>
      </c>
      <c r="DC4" s="274" t="s">
        <v>49</v>
      </c>
      <c r="DD4" s="274" t="s">
        <v>49</v>
      </c>
      <c r="DE4" s="274" t="s">
        <v>49</v>
      </c>
      <c r="DF4" s="274" t="s">
        <v>49</v>
      </c>
      <c r="DG4" s="274" t="s">
        <v>49</v>
      </c>
      <c r="DH4" s="274" t="s">
        <v>49</v>
      </c>
      <c r="DI4" s="274" t="s">
        <v>49</v>
      </c>
      <c r="DJ4" s="274" t="s">
        <v>49</v>
      </c>
      <c r="DK4" s="274" t="s">
        <v>49</v>
      </c>
      <c r="DL4" s="273"/>
      <c r="DM4" s="274" t="s">
        <v>50</v>
      </c>
      <c r="DN4" s="274" t="s">
        <v>50</v>
      </c>
      <c r="DO4" s="274" t="s">
        <v>50</v>
      </c>
      <c r="DP4" s="274" t="s">
        <v>50</v>
      </c>
      <c r="DQ4" s="274" t="s">
        <v>50</v>
      </c>
      <c r="DR4" s="274" t="s">
        <v>50</v>
      </c>
      <c r="DS4" s="274" t="s">
        <v>50</v>
      </c>
      <c r="DT4" s="274" t="s">
        <v>50</v>
      </c>
      <c r="DU4" s="274" t="s">
        <v>50</v>
      </c>
      <c r="DV4" s="274" t="s">
        <v>50</v>
      </c>
      <c r="DW4" s="274" t="s">
        <v>50</v>
      </c>
      <c r="DX4" s="274" t="s">
        <v>50</v>
      </c>
      <c r="DY4" s="274" t="s">
        <v>50</v>
      </c>
      <c r="DZ4" s="273"/>
      <c r="EA4" s="274" t="s">
        <v>236</v>
      </c>
      <c r="EB4" s="274" t="s">
        <v>236</v>
      </c>
      <c r="EC4" s="274" t="s">
        <v>236</v>
      </c>
      <c r="ED4" s="274" t="s">
        <v>236</v>
      </c>
      <c r="EE4" s="274" t="s">
        <v>236</v>
      </c>
      <c r="EF4" s="274" t="s">
        <v>236</v>
      </c>
      <c r="EG4" s="274" t="s">
        <v>236</v>
      </c>
      <c r="EH4" s="274" t="s">
        <v>236</v>
      </c>
      <c r="EI4" s="274" t="s">
        <v>236</v>
      </c>
      <c r="EJ4" s="274" t="s">
        <v>236</v>
      </c>
      <c r="EK4" s="274" t="s">
        <v>236</v>
      </c>
      <c r="EL4" s="274" t="s">
        <v>236</v>
      </c>
      <c r="EM4" s="274" t="s">
        <v>236</v>
      </c>
    </row>
    <row r="5" spans="1:144" s="279" customFormat="1" ht="45.95" customHeight="1">
      <c r="A5" s="276">
        <f>SUM(A6:A9)</f>
        <v>229165.98347107437</v>
      </c>
      <c r="B5" s="270"/>
      <c r="C5" s="270"/>
      <c r="D5" s="270"/>
      <c r="E5" s="270"/>
      <c r="F5" s="271"/>
      <c r="G5" s="271"/>
      <c r="H5" s="272" t="s">
        <v>51</v>
      </c>
      <c r="I5" s="272" t="s">
        <v>51</v>
      </c>
      <c r="J5" s="272"/>
      <c r="K5" s="272" t="s">
        <v>52</v>
      </c>
      <c r="L5" s="272" t="s">
        <v>58</v>
      </c>
      <c r="M5" s="272"/>
      <c r="N5" s="272" t="s">
        <v>53</v>
      </c>
      <c r="O5" s="272" t="s">
        <v>53</v>
      </c>
      <c r="P5" s="272" t="s">
        <v>53</v>
      </c>
      <c r="Q5" s="272" t="s">
        <v>53</v>
      </c>
      <c r="R5" s="277"/>
      <c r="S5" s="278">
        <f t="shared" ref="S5:AE5" si="0">SUM(S6:S9)</f>
        <v>0</v>
      </c>
      <c r="T5" s="278">
        <f t="shared" si="0"/>
        <v>0</v>
      </c>
      <c r="U5" s="278">
        <f t="shared" si="0"/>
        <v>0</v>
      </c>
      <c r="V5" s="278">
        <f t="shared" si="0"/>
        <v>0</v>
      </c>
      <c r="W5" s="278">
        <f t="shared" si="0"/>
        <v>0</v>
      </c>
      <c r="X5" s="278">
        <f t="shared" si="0"/>
        <v>0</v>
      </c>
      <c r="Y5" s="278">
        <f t="shared" si="0"/>
        <v>0</v>
      </c>
      <c r="Z5" s="278">
        <f t="shared" si="0"/>
        <v>0</v>
      </c>
      <c r="AA5" s="278">
        <f t="shared" si="0"/>
        <v>0</v>
      </c>
      <c r="AB5" s="278">
        <f t="shared" si="0"/>
        <v>0</v>
      </c>
      <c r="AC5" s="278">
        <f t="shared" si="0"/>
        <v>0</v>
      </c>
      <c r="AD5" s="278">
        <f t="shared" si="0"/>
        <v>0</v>
      </c>
      <c r="AE5" s="278">
        <f t="shared" si="0"/>
        <v>0</v>
      </c>
      <c r="AF5" s="277"/>
      <c r="AG5" s="278">
        <f t="shared" ref="AG5:AS5" si="1">SUM(AG6:AG9)</f>
        <v>0</v>
      </c>
      <c r="AH5" s="278">
        <f t="shared" si="1"/>
        <v>0</v>
      </c>
      <c r="AI5" s="278">
        <f t="shared" si="1"/>
        <v>0</v>
      </c>
      <c r="AJ5" s="278">
        <f t="shared" si="1"/>
        <v>0</v>
      </c>
      <c r="AK5" s="278">
        <f t="shared" si="1"/>
        <v>0</v>
      </c>
      <c r="AL5" s="278">
        <f t="shared" si="1"/>
        <v>0</v>
      </c>
      <c r="AM5" s="278">
        <f t="shared" si="1"/>
        <v>0</v>
      </c>
      <c r="AN5" s="278">
        <f t="shared" si="1"/>
        <v>0</v>
      </c>
      <c r="AO5" s="278">
        <f t="shared" si="1"/>
        <v>0</v>
      </c>
      <c r="AP5" s="278">
        <f t="shared" si="1"/>
        <v>0</v>
      </c>
      <c r="AQ5" s="278">
        <f t="shared" si="1"/>
        <v>0</v>
      </c>
      <c r="AR5" s="278">
        <f t="shared" si="1"/>
        <v>0</v>
      </c>
      <c r="AS5" s="278">
        <f t="shared" si="1"/>
        <v>0</v>
      </c>
      <c r="AT5" s="277"/>
      <c r="AU5" s="278">
        <f t="shared" ref="AU5:BG5" si="2">SUM(AU6:AU9)</f>
        <v>8450.1652892561979</v>
      </c>
      <c r="AV5" s="278">
        <f t="shared" si="2"/>
        <v>8450.1652892561979</v>
      </c>
      <c r="AW5" s="278">
        <f t="shared" si="2"/>
        <v>8450.1652892561979</v>
      </c>
      <c r="AX5" s="278">
        <f t="shared" si="2"/>
        <v>8450.1652892561979</v>
      </c>
      <c r="AY5" s="278">
        <f t="shared" si="2"/>
        <v>8450.1652892561979</v>
      </c>
      <c r="AZ5" s="278">
        <f t="shared" si="2"/>
        <v>8450.1652892561979</v>
      </c>
      <c r="BA5" s="278">
        <f t="shared" si="2"/>
        <v>8450.1652892561979</v>
      </c>
      <c r="BB5" s="278">
        <f t="shared" si="2"/>
        <v>8450.1652892561979</v>
      </c>
      <c r="BC5" s="278">
        <f t="shared" si="2"/>
        <v>8450.1652892561979</v>
      </c>
      <c r="BD5" s="278">
        <f t="shared" si="2"/>
        <v>8450.1652892561979</v>
      </c>
      <c r="BE5" s="278">
        <f t="shared" si="2"/>
        <v>8450.1652892561979</v>
      </c>
      <c r="BF5" s="278">
        <f t="shared" si="2"/>
        <v>8450.1652892561979</v>
      </c>
      <c r="BG5" s="278">
        <f t="shared" si="2"/>
        <v>101401.98347107437</v>
      </c>
      <c r="BH5" s="277"/>
      <c r="BI5" s="278">
        <f t="shared" ref="BI5:BU5" si="3">SUM(BI6:BI9)</f>
        <v>1050</v>
      </c>
      <c r="BJ5" s="278">
        <f t="shared" si="3"/>
        <v>1050</v>
      </c>
      <c r="BK5" s="278">
        <f t="shared" si="3"/>
        <v>1050</v>
      </c>
      <c r="BL5" s="278">
        <f t="shared" si="3"/>
        <v>1050</v>
      </c>
      <c r="BM5" s="278">
        <f t="shared" si="3"/>
        <v>1050</v>
      </c>
      <c r="BN5" s="278">
        <f t="shared" si="3"/>
        <v>1050</v>
      </c>
      <c r="BO5" s="278">
        <f t="shared" si="3"/>
        <v>1050</v>
      </c>
      <c r="BP5" s="278">
        <f t="shared" si="3"/>
        <v>1050</v>
      </c>
      <c r="BQ5" s="278">
        <f t="shared" si="3"/>
        <v>1050</v>
      </c>
      <c r="BR5" s="278">
        <f t="shared" si="3"/>
        <v>1050</v>
      </c>
      <c r="BS5" s="278">
        <f t="shared" si="3"/>
        <v>1050</v>
      </c>
      <c r="BT5" s="278">
        <f t="shared" si="3"/>
        <v>1050</v>
      </c>
      <c r="BU5" s="278">
        <f t="shared" si="3"/>
        <v>12600</v>
      </c>
      <c r="BV5" s="277"/>
      <c r="BW5" s="278">
        <f t="shared" ref="BW5:CI5" si="4">SUM(BW6:BW9)</f>
        <v>3333.3333333333335</v>
      </c>
      <c r="BX5" s="278">
        <f t="shared" si="4"/>
        <v>3333.3333333333335</v>
      </c>
      <c r="BY5" s="278">
        <f t="shared" si="4"/>
        <v>3333.3333333333335</v>
      </c>
      <c r="BZ5" s="278">
        <f t="shared" si="4"/>
        <v>3333.3333333333335</v>
      </c>
      <c r="CA5" s="278">
        <f t="shared" si="4"/>
        <v>3333.3333333333335</v>
      </c>
      <c r="CB5" s="278">
        <f t="shared" si="4"/>
        <v>3333.3333333333335</v>
      </c>
      <c r="CC5" s="278">
        <f t="shared" si="4"/>
        <v>3333.3333333333335</v>
      </c>
      <c r="CD5" s="278">
        <f t="shared" si="4"/>
        <v>3333.3333333333335</v>
      </c>
      <c r="CE5" s="278">
        <f t="shared" si="4"/>
        <v>3333.3333333333335</v>
      </c>
      <c r="CF5" s="278">
        <f t="shared" si="4"/>
        <v>3333.3333333333335</v>
      </c>
      <c r="CG5" s="278">
        <f t="shared" si="4"/>
        <v>3333.3333333333335</v>
      </c>
      <c r="CH5" s="278">
        <f t="shared" si="4"/>
        <v>3333.3333333333335</v>
      </c>
      <c r="CI5" s="278">
        <f t="shared" si="4"/>
        <v>40000</v>
      </c>
      <c r="CJ5" s="277"/>
      <c r="CK5" s="278">
        <f t="shared" ref="CK5:CW5" si="5">SUM(CK6:CK9)</f>
        <v>166.66666666666666</v>
      </c>
      <c r="CL5" s="278">
        <f t="shared" si="5"/>
        <v>166.66666666666666</v>
      </c>
      <c r="CM5" s="278">
        <f t="shared" si="5"/>
        <v>166.66666666666666</v>
      </c>
      <c r="CN5" s="278">
        <f t="shared" si="5"/>
        <v>166.66666666666666</v>
      </c>
      <c r="CO5" s="278">
        <f t="shared" si="5"/>
        <v>166.66666666666666</v>
      </c>
      <c r="CP5" s="278">
        <f t="shared" si="5"/>
        <v>166.66666666666666</v>
      </c>
      <c r="CQ5" s="278">
        <f t="shared" si="5"/>
        <v>166.66666666666666</v>
      </c>
      <c r="CR5" s="278">
        <f t="shared" si="5"/>
        <v>166.66666666666666</v>
      </c>
      <c r="CS5" s="278">
        <f t="shared" si="5"/>
        <v>166.66666666666666</v>
      </c>
      <c r="CT5" s="278">
        <f t="shared" si="5"/>
        <v>166.66666666666666</v>
      </c>
      <c r="CU5" s="278">
        <f t="shared" si="5"/>
        <v>166.66666666666666</v>
      </c>
      <c r="CV5" s="278">
        <f t="shared" si="5"/>
        <v>166.66666666666666</v>
      </c>
      <c r="CW5" s="278">
        <f t="shared" si="5"/>
        <v>2000.0000000000002</v>
      </c>
      <c r="CX5" s="277"/>
      <c r="CY5" s="278">
        <f t="shared" ref="CY5:DK5" si="6">SUM(CY6:CY9)</f>
        <v>5597</v>
      </c>
      <c r="CZ5" s="278">
        <f t="shared" si="6"/>
        <v>5597</v>
      </c>
      <c r="DA5" s="278">
        <f t="shared" si="6"/>
        <v>5597</v>
      </c>
      <c r="DB5" s="278">
        <f t="shared" si="6"/>
        <v>5597</v>
      </c>
      <c r="DC5" s="278">
        <f t="shared" si="6"/>
        <v>5597</v>
      </c>
      <c r="DD5" s="278">
        <f t="shared" si="6"/>
        <v>5597</v>
      </c>
      <c r="DE5" s="278">
        <f t="shared" si="6"/>
        <v>5597</v>
      </c>
      <c r="DF5" s="278">
        <f t="shared" si="6"/>
        <v>5597</v>
      </c>
      <c r="DG5" s="278">
        <f t="shared" si="6"/>
        <v>5597</v>
      </c>
      <c r="DH5" s="278">
        <f t="shared" si="6"/>
        <v>5597</v>
      </c>
      <c r="DI5" s="278">
        <f t="shared" si="6"/>
        <v>5597</v>
      </c>
      <c r="DJ5" s="278">
        <f t="shared" si="6"/>
        <v>5597</v>
      </c>
      <c r="DK5" s="278">
        <f t="shared" si="6"/>
        <v>67164</v>
      </c>
      <c r="DL5" s="277"/>
      <c r="DM5" s="278">
        <f t="shared" ref="DM5:DY5" si="7">SUM(DM6:DM9)</f>
        <v>6000</v>
      </c>
      <c r="DN5" s="278">
        <f t="shared" si="7"/>
        <v>0</v>
      </c>
      <c r="DO5" s="278">
        <f t="shared" si="7"/>
        <v>0</v>
      </c>
      <c r="DP5" s="278">
        <f t="shared" si="7"/>
        <v>0</v>
      </c>
      <c r="DQ5" s="278">
        <f t="shared" si="7"/>
        <v>0</v>
      </c>
      <c r="DR5" s="278">
        <f t="shared" si="7"/>
        <v>0</v>
      </c>
      <c r="DS5" s="278">
        <f t="shared" si="7"/>
        <v>0</v>
      </c>
      <c r="DT5" s="278">
        <f t="shared" si="7"/>
        <v>0</v>
      </c>
      <c r="DU5" s="278">
        <f t="shared" si="7"/>
        <v>0</v>
      </c>
      <c r="DV5" s="278">
        <f t="shared" si="7"/>
        <v>0</v>
      </c>
      <c r="DW5" s="278">
        <f t="shared" si="7"/>
        <v>0</v>
      </c>
      <c r="DX5" s="278">
        <f t="shared" si="7"/>
        <v>0</v>
      </c>
      <c r="DY5" s="278">
        <f t="shared" si="7"/>
        <v>6000</v>
      </c>
      <c r="DZ5" s="277"/>
      <c r="EA5" s="278">
        <f t="shared" ref="EA5:EM5" si="8">SUM(EA6:EA9)</f>
        <v>24597.165289256198</v>
      </c>
      <c r="EB5" s="278">
        <f t="shared" si="8"/>
        <v>18597.165289256198</v>
      </c>
      <c r="EC5" s="278">
        <f t="shared" si="8"/>
        <v>18597.165289256198</v>
      </c>
      <c r="ED5" s="278">
        <f t="shared" si="8"/>
        <v>18597.165289256198</v>
      </c>
      <c r="EE5" s="278">
        <f t="shared" si="8"/>
        <v>18597.165289256198</v>
      </c>
      <c r="EF5" s="278">
        <f t="shared" si="8"/>
        <v>18597.165289256198</v>
      </c>
      <c r="EG5" s="278">
        <f t="shared" si="8"/>
        <v>18597.165289256198</v>
      </c>
      <c r="EH5" s="278">
        <f t="shared" si="8"/>
        <v>18597.165289256198</v>
      </c>
      <c r="EI5" s="278">
        <f t="shared" si="8"/>
        <v>18597.165289256198</v>
      </c>
      <c r="EJ5" s="278">
        <f t="shared" si="8"/>
        <v>18597.165289256198</v>
      </c>
      <c r="EK5" s="278">
        <f t="shared" si="8"/>
        <v>18597.165289256198</v>
      </c>
      <c r="EL5" s="278">
        <f t="shared" si="8"/>
        <v>18597.165289256198</v>
      </c>
      <c r="EM5" s="278">
        <f t="shared" si="8"/>
        <v>229165.98347107437</v>
      </c>
    </row>
    <row r="6" spans="1:144" s="280" customFormat="1" ht="18.95" customHeight="1" outlineLevel="1">
      <c r="A6" s="280">
        <f t="shared" ref="A6:A9" si="9">SUM(AE6,AS6,BG6,BU6,CI6,CW6,DK6,DY6)</f>
        <v>52640.727272727265</v>
      </c>
      <c r="B6" s="281"/>
      <c r="C6" s="282"/>
      <c r="D6" s="282" t="s">
        <v>158</v>
      </c>
      <c r="E6" s="282" t="s">
        <v>459</v>
      </c>
      <c r="F6" s="249">
        <v>8200</v>
      </c>
      <c r="G6" s="249" t="s">
        <v>72</v>
      </c>
      <c r="H6" s="283">
        <v>0</v>
      </c>
      <c r="I6" s="283">
        <v>0</v>
      </c>
      <c r="J6" s="282" t="s">
        <v>160</v>
      </c>
      <c r="K6" s="282">
        <v>2</v>
      </c>
      <c r="L6" s="284">
        <v>8.0299999999999994</v>
      </c>
      <c r="M6" s="283">
        <v>1000</v>
      </c>
      <c r="N6" s="285">
        <v>3000</v>
      </c>
      <c r="O6" s="283">
        <v>10000</v>
      </c>
      <c r="P6" s="283">
        <v>500</v>
      </c>
      <c r="Q6" s="283">
        <v>14448</v>
      </c>
      <c r="R6" s="277"/>
      <c r="S6" s="286">
        <f t="shared" ref="S6:AD9" si="10">$H6</f>
        <v>0</v>
      </c>
      <c r="T6" s="286">
        <f t="shared" si="10"/>
        <v>0</v>
      </c>
      <c r="U6" s="286">
        <f t="shared" si="10"/>
        <v>0</v>
      </c>
      <c r="V6" s="286">
        <f t="shared" si="10"/>
        <v>0</v>
      </c>
      <c r="W6" s="286">
        <f t="shared" si="10"/>
        <v>0</v>
      </c>
      <c r="X6" s="286">
        <f t="shared" si="10"/>
        <v>0</v>
      </c>
      <c r="Y6" s="286">
        <f t="shared" si="10"/>
        <v>0</v>
      </c>
      <c r="Z6" s="286">
        <f t="shared" si="10"/>
        <v>0</v>
      </c>
      <c r="AA6" s="286">
        <f t="shared" si="10"/>
        <v>0</v>
      </c>
      <c r="AB6" s="286">
        <f t="shared" si="10"/>
        <v>0</v>
      </c>
      <c r="AC6" s="286">
        <f t="shared" si="10"/>
        <v>0</v>
      </c>
      <c r="AD6" s="286">
        <f t="shared" si="10"/>
        <v>0</v>
      </c>
      <c r="AE6" s="286">
        <f t="shared" ref="AE6:AE9" si="11">SUM(S6:AD6)</f>
        <v>0</v>
      </c>
      <c r="AF6" s="277"/>
      <c r="AG6" s="286">
        <f t="shared" ref="AG6:AR9" si="12">$I6</f>
        <v>0</v>
      </c>
      <c r="AH6" s="286">
        <f t="shared" si="12"/>
        <v>0</v>
      </c>
      <c r="AI6" s="286">
        <f t="shared" si="12"/>
        <v>0</v>
      </c>
      <c r="AJ6" s="286">
        <f t="shared" si="12"/>
        <v>0</v>
      </c>
      <c r="AK6" s="286">
        <f t="shared" si="12"/>
        <v>0</v>
      </c>
      <c r="AL6" s="286">
        <f t="shared" si="12"/>
        <v>0</v>
      </c>
      <c r="AM6" s="286">
        <f t="shared" si="12"/>
        <v>0</v>
      </c>
      <c r="AN6" s="286">
        <f t="shared" si="12"/>
        <v>0</v>
      </c>
      <c r="AO6" s="286">
        <f t="shared" si="12"/>
        <v>0</v>
      </c>
      <c r="AP6" s="286">
        <f t="shared" si="12"/>
        <v>0</v>
      </c>
      <c r="AQ6" s="286">
        <f t="shared" si="12"/>
        <v>0</v>
      </c>
      <c r="AR6" s="286">
        <f t="shared" si="12"/>
        <v>0</v>
      </c>
      <c r="AS6" s="286">
        <f t="shared" ref="AS6:AS9" si="13">SUM(AG6:AR6)</f>
        <v>0</v>
      </c>
      <c r="AT6" s="277"/>
      <c r="AU6" s="286">
        <f>$L6/100*$M6*CHOOSE($K6,30.5/1.21,29.5/1.21)</f>
        <v>1957.7272727272725</v>
      </c>
      <c r="AV6" s="286">
        <f t="shared" ref="AV6:BF9" si="14">$L6/100*$M6*CHOOSE($K6,30.5/1.21,29.5/1.21)</f>
        <v>1957.7272727272725</v>
      </c>
      <c r="AW6" s="286">
        <f t="shared" si="14"/>
        <v>1957.7272727272725</v>
      </c>
      <c r="AX6" s="286">
        <f t="shared" si="14"/>
        <v>1957.7272727272725</v>
      </c>
      <c r="AY6" s="286">
        <f t="shared" si="14"/>
        <v>1957.7272727272725</v>
      </c>
      <c r="AZ6" s="286">
        <f t="shared" si="14"/>
        <v>1957.7272727272725</v>
      </c>
      <c r="BA6" s="286">
        <f t="shared" si="14"/>
        <v>1957.7272727272725</v>
      </c>
      <c r="BB6" s="286">
        <f t="shared" si="14"/>
        <v>1957.7272727272725</v>
      </c>
      <c r="BC6" s="286">
        <f t="shared" si="14"/>
        <v>1957.7272727272725</v>
      </c>
      <c r="BD6" s="286">
        <f t="shared" si="14"/>
        <v>1957.7272727272725</v>
      </c>
      <c r="BE6" s="286">
        <f t="shared" si="14"/>
        <v>1957.7272727272725</v>
      </c>
      <c r="BF6" s="286">
        <f t="shared" si="14"/>
        <v>1957.7272727272725</v>
      </c>
      <c r="BG6" s="286">
        <f>SUM(AU6:BF6)</f>
        <v>23492.727272727268</v>
      </c>
      <c r="BH6" s="277"/>
      <c r="BI6" s="286">
        <v>225</v>
      </c>
      <c r="BJ6" s="286">
        <v>225</v>
      </c>
      <c r="BK6" s="286">
        <v>225</v>
      </c>
      <c r="BL6" s="286">
        <v>225</v>
      </c>
      <c r="BM6" s="286">
        <v>225</v>
      </c>
      <c r="BN6" s="286">
        <v>225</v>
      </c>
      <c r="BO6" s="286">
        <v>225</v>
      </c>
      <c r="BP6" s="286">
        <v>225</v>
      </c>
      <c r="BQ6" s="286">
        <v>225</v>
      </c>
      <c r="BR6" s="286">
        <v>225</v>
      </c>
      <c r="BS6" s="286">
        <v>225</v>
      </c>
      <c r="BT6" s="286">
        <v>225</v>
      </c>
      <c r="BU6" s="286">
        <f t="shared" ref="BU6:BU9" si="15">SUM(BI6:BT6)</f>
        <v>2700</v>
      </c>
      <c r="BV6" s="277"/>
      <c r="BW6" s="286">
        <f t="shared" ref="BW6:CH9" si="16">$O6/12</f>
        <v>833.33333333333337</v>
      </c>
      <c r="BX6" s="286">
        <f t="shared" si="16"/>
        <v>833.33333333333337</v>
      </c>
      <c r="BY6" s="286">
        <f t="shared" si="16"/>
        <v>833.33333333333337</v>
      </c>
      <c r="BZ6" s="286">
        <f t="shared" si="16"/>
        <v>833.33333333333337</v>
      </c>
      <c r="CA6" s="286">
        <f t="shared" si="16"/>
        <v>833.33333333333337</v>
      </c>
      <c r="CB6" s="286">
        <f t="shared" si="16"/>
        <v>833.33333333333337</v>
      </c>
      <c r="CC6" s="286">
        <f t="shared" si="16"/>
        <v>833.33333333333337</v>
      </c>
      <c r="CD6" s="286">
        <f t="shared" si="16"/>
        <v>833.33333333333337</v>
      </c>
      <c r="CE6" s="286">
        <f t="shared" si="16"/>
        <v>833.33333333333337</v>
      </c>
      <c r="CF6" s="286">
        <f t="shared" si="16"/>
        <v>833.33333333333337</v>
      </c>
      <c r="CG6" s="286">
        <f t="shared" si="16"/>
        <v>833.33333333333337</v>
      </c>
      <c r="CH6" s="286">
        <f t="shared" si="16"/>
        <v>833.33333333333337</v>
      </c>
      <c r="CI6" s="286">
        <f t="shared" ref="CI6:CI9" si="17">SUM(BW6:CH6)</f>
        <v>10000</v>
      </c>
      <c r="CJ6" s="277"/>
      <c r="CK6" s="286">
        <f>$P6/12</f>
        <v>41.666666666666664</v>
      </c>
      <c r="CL6" s="286">
        <f t="shared" ref="CL6:CV9" si="18">$P6/12</f>
        <v>41.666666666666664</v>
      </c>
      <c r="CM6" s="286">
        <f t="shared" si="18"/>
        <v>41.666666666666664</v>
      </c>
      <c r="CN6" s="286">
        <f t="shared" si="18"/>
        <v>41.666666666666664</v>
      </c>
      <c r="CO6" s="286">
        <f t="shared" si="18"/>
        <v>41.666666666666664</v>
      </c>
      <c r="CP6" s="286">
        <f t="shared" si="18"/>
        <v>41.666666666666664</v>
      </c>
      <c r="CQ6" s="286">
        <f t="shared" si="18"/>
        <v>41.666666666666664</v>
      </c>
      <c r="CR6" s="286">
        <f t="shared" si="18"/>
        <v>41.666666666666664</v>
      </c>
      <c r="CS6" s="286">
        <f t="shared" si="18"/>
        <v>41.666666666666664</v>
      </c>
      <c r="CT6" s="286">
        <f t="shared" si="18"/>
        <v>41.666666666666664</v>
      </c>
      <c r="CU6" s="286">
        <f t="shared" si="18"/>
        <v>41.666666666666664</v>
      </c>
      <c r="CV6" s="286">
        <f t="shared" si="18"/>
        <v>41.666666666666664</v>
      </c>
      <c r="CW6" s="286">
        <f t="shared" ref="CW6:CW9" si="19">SUM(CK6:CV6)</f>
        <v>500.00000000000006</v>
      </c>
      <c r="CX6" s="277"/>
      <c r="CY6" s="286">
        <f t="shared" ref="CY6:DJ9" si="20">$Q6/12</f>
        <v>1204</v>
      </c>
      <c r="CZ6" s="286">
        <f t="shared" si="20"/>
        <v>1204</v>
      </c>
      <c r="DA6" s="286">
        <f t="shared" si="20"/>
        <v>1204</v>
      </c>
      <c r="DB6" s="286">
        <f t="shared" si="20"/>
        <v>1204</v>
      </c>
      <c r="DC6" s="286">
        <f t="shared" si="20"/>
        <v>1204</v>
      </c>
      <c r="DD6" s="286">
        <f t="shared" si="20"/>
        <v>1204</v>
      </c>
      <c r="DE6" s="286">
        <f t="shared" si="20"/>
        <v>1204</v>
      </c>
      <c r="DF6" s="286">
        <f t="shared" si="20"/>
        <v>1204</v>
      </c>
      <c r="DG6" s="286">
        <f t="shared" si="20"/>
        <v>1204</v>
      </c>
      <c r="DH6" s="286">
        <f t="shared" si="20"/>
        <v>1204</v>
      </c>
      <c r="DI6" s="286">
        <f t="shared" si="20"/>
        <v>1204</v>
      </c>
      <c r="DJ6" s="286">
        <f t="shared" si="20"/>
        <v>1204</v>
      </c>
      <c r="DK6" s="286">
        <f t="shared" ref="DK6:DK9" si="21">SUM(CY6:DJ6)</f>
        <v>14448</v>
      </c>
      <c r="DL6" s="277"/>
      <c r="DM6" s="286">
        <v>1500</v>
      </c>
      <c r="DN6" s="286">
        <v>0</v>
      </c>
      <c r="DO6" s="286">
        <v>0</v>
      </c>
      <c r="DP6" s="286">
        <v>0</v>
      </c>
      <c r="DQ6" s="286">
        <v>0</v>
      </c>
      <c r="DR6" s="286">
        <v>0</v>
      </c>
      <c r="DS6" s="286">
        <v>0</v>
      </c>
      <c r="DT6" s="286">
        <v>0</v>
      </c>
      <c r="DU6" s="286">
        <v>0</v>
      </c>
      <c r="DV6" s="286">
        <v>0</v>
      </c>
      <c r="DW6" s="286">
        <v>0</v>
      </c>
      <c r="DX6" s="286">
        <v>0</v>
      </c>
      <c r="DY6" s="286">
        <f t="shared" ref="DY6:DY9" si="22">SUM(DM6:DX6)</f>
        <v>1500</v>
      </c>
      <c r="DZ6" s="277"/>
      <c r="EA6" s="286">
        <f>SUM(AG6,AU6,BI6,BW6,CK6,CY6,DM6)</f>
        <v>5761.7272727272721</v>
      </c>
      <c r="EB6" s="286">
        <f t="shared" ref="EB6:EB9" si="23">SUM(AH6,AV6,BJ6,BX6,CL6,CZ6,DN6)</f>
        <v>4261.7272727272721</v>
      </c>
      <c r="EC6" s="286">
        <f t="shared" ref="EC6:EC9" si="24">SUM(AI6,AW6,BK6,BY6,CM6,DA6,DO6)</f>
        <v>4261.7272727272721</v>
      </c>
      <c r="ED6" s="286">
        <f t="shared" ref="ED6:ED9" si="25">SUM(AJ6,AX6,BL6,BZ6,CN6,DB6,DP6)</f>
        <v>4261.7272727272721</v>
      </c>
      <c r="EE6" s="286">
        <f t="shared" ref="EE6:EE9" si="26">SUM(AK6,AY6,BM6,CA6,CO6,DC6,DQ6)</f>
        <v>4261.7272727272721</v>
      </c>
      <c r="EF6" s="286">
        <f t="shared" ref="EF6:EF9" si="27">SUM(AL6,AZ6,BN6,CB6,CP6,DD6,DR6)</f>
        <v>4261.7272727272721</v>
      </c>
      <c r="EG6" s="286">
        <f t="shared" ref="EG6:EG9" si="28">SUM(AM6,BA6,BO6,CC6,CQ6,DE6,DS6)</f>
        <v>4261.7272727272721</v>
      </c>
      <c r="EH6" s="286">
        <f t="shared" ref="EH6:EH9" si="29">SUM(AN6,BB6,BP6,CD6,CR6,DF6,DT6)</f>
        <v>4261.7272727272721</v>
      </c>
      <c r="EI6" s="286">
        <f t="shared" ref="EI6:EI9" si="30">SUM(AO6,BC6,BQ6,CE6,CS6,DG6,DU6)</f>
        <v>4261.7272727272721</v>
      </c>
      <c r="EJ6" s="286">
        <f t="shared" ref="EJ6:EJ9" si="31">SUM(AP6,BD6,BR6,CF6,CT6,DH6,DV6)</f>
        <v>4261.7272727272721</v>
      </c>
      <c r="EK6" s="286">
        <f t="shared" ref="EK6:EK9" si="32">SUM(AQ6,BE6,BS6,CG6,CU6,DI6,DW6)</f>
        <v>4261.7272727272721</v>
      </c>
      <c r="EL6" s="286">
        <f t="shared" ref="EL6:EL9" si="33">SUM(AR6,BF6,BT6,CH6,CV6,DJ6,DX6)</f>
        <v>4261.7272727272721</v>
      </c>
      <c r="EM6" s="286">
        <f t="shared" ref="EM6:EM9" si="34">SUM(EA6:EL6)</f>
        <v>52640.727272727265</v>
      </c>
    </row>
    <row r="7" spans="1:144" s="280" customFormat="1" ht="18.95" customHeight="1" outlineLevel="1">
      <c r="A7" s="280">
        <f t="shared" si="9"/>
        <v>52640.727272727265</v>
      </c>
      <c r="B7" s="281"/>
      <c r="C7" s="282"/>
      <c r="D7" s="282" t="s">
        <v>158</v>
      </c>
      <c r="E7" s="288" t="s">
        <v>460</v>
      </c>
      <c r="F7" s="249">
        <v>8200</v>
      </c>
      <c r="G7" s="249" t="s">
        <v>72</v>
      </c>
      <c r="H7" s="283">
        <v>0</v>
      </c>
      <c r="I7" s="283">
        <v>0</v>
      </c>
      <c r="J7" s="282" t="s">
        <v>160</v>
      </c>
      <c r="K7" s="282">
        <v>2</v>
      </c>
      <c r="L7" s="284">
        <v>8.0299999999999994</v>
      </c>
      <c r="M7" s="283">
        <v>1000</v>
      </c>
      <c r="N7" s="285">
        <v>3000</v>
      </c>
      <c r="O7" s="283">
        <v>10000</v>
      </c>
      <c r="P7" s="283">
        <v>500</v>
      </c>
      <c r="Q7" s="283">
        <v>14448</v>
      </c>
      <c r="R7" s="277"/>
      <c r="S7" s="286">
        <f t="shared" si="10"/>
        <v>0</v>
      </c>
      <c r="T7" s="286">
        <f t="shared" si="10"/>
        <v>0</v>
      </c>
      <c r="U7" s="286">
        <f t="shared" si="10"/>
        <v>0</v>
      </c>
      <c r="V7" s="286">
        <f t="shared" si="10"/>
        <v>0</v>
      </c>
      <c r="W7" s="286">
        <f t="shared" si="10"/>
        <v>0</v>
      </c>
      <c r="X7" s="286">
        <f t="shared" si="10"/>
        <v>0</v>
      </c>
      <c r="Y7" s="286">
        <f t="shared" si="10"/>
        <v>0</v>
      </c>
      <c r="Z7" s="286">
        <f t="shared" si="10"/>
        <v>0</v>
      </c>
      <c r="AA7" s="286">
        <f t="shared" si="10"/>
        <v>0</v>
      </c>
      <c r="AB7" s="286">
        <f t="shared" si="10"/>
        <v>0</v>
      </c>
      <c r="AC7" s="286">
        <f t="shared" si="10"/>
        <v>0</v>
      </c>
      <c r="AD7" s="286">
        <f t="shared" si="10"/>
        <v>0</v>
      </c>
      <c r="AE7" s="286">
        <f t="shared" si="11"/>
        <v>0</v>
      </c>
      <c r="AF7" s="277"/>
      <c r="AG7" s="286">
        <f t="shared" si="12"/>
        <v>0</v>
      </c>
      <c r="AH7" s="286">
        <f t="shared" si="12"/>
        <v>0</v>
      </c>
      <c r="AI7" s="286">
        <f t="shared" si="12"/>
        <v>0</v>
      </c>
      <c r="AJ7" s="286">
        <f t="shared" si="12"/>
        <v>0</v>
      </c>
      <c r="AK7" s="286">
        <f t="shared" si="12"/>
        <v>0</v>
      </c>
      <c r="AL7" s="286">
        <f t="shared" si="12"/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3"/>
        <v>0</v>
      </c>
      <c r="AT7" s="277"/>
      <c r="AU7" s="286">
        <f t="shared" ref="AU7:AU9" si="35">$L7/100*$M7*CHOOSE($K7,30.5/1.21,29.5/1.21)</f>
        <v>1957.7272727272725</v>
      </c>
      <c r="AV7" s="286">
        <f t="shared" si="14"/>
        <v>1957.7272727272725</v>
      </c>
      <c r="AW7" s="286">
        <f t="shared" si="14"/>
        <v>1957.7272727272725</v>
      </c>
      <c r="AX7" s="286">
        <f t="shared" si="14"/>
        <v>1957.7272727272725</v>
      </c>
      <c r="AY7" s="286">
        <f t="shared" si="14"/>
        <v>1957.7272727272725</v>
      </c>
      <c r="AZ7" s="286">
        <f t="shared" si="14"/>
        <v>1957.7272727272725</v>
      </c>
      <c r="BA7" s="286">
        <f t="shared" si="14"/>
        <v>1957.7272727272725</v>
      </c>
      <c r="BB7" s="286">
        <f t="shared" si="14"/>
        <v>1957.7272727272725</v>
      </c>
      <c r="BC7" s="286">
        <f t="shared" si="14"/>
        <v>1957.7272727272725</v>
      </c>
      <c r="BD7" s="286">
        <f t="shared" si="14"/>
        <v>1957.7272727272725</v>
      </c>
      <c r="BE7" s="286">
        <f t="shared" si="14"/>
        <v>1957.7272727272725</v>
      </c>
      <c r="BF7" s="286">
        <f t="shared" si="14"/>
        <v>1957.7272727272725</v>
      </c>
      <c r="BG7" s="286">
        <f t="shared" ref="BG7:BG9" si="36">SUM(AU7:BF7)</f>
        <v>23492.727272727268</v>
      </c>
      <c r="BH7" s="277"/>
      <c r="BI7" s="286">
        <v>225</v>
      </c>
      <c r="BJ7" s="286">
        <v>225</v>
      </c>
      <c r="BK7" s="286">
        <v>225</v>
      </c>
      <c r="BL7" s="286">
        <v>225</v>
      </c>
      <c r="BM7" s="286">
        <v>225</v>
      </c>
      <c r="BN7" s="286">
        <v>225</v>
      </c>
      <c r="BO7" s="286">
        <v>225</v>
      </c>
      <c r="BP7" s="286">
        <v>225</v>
      </c>
      <c r="BQ7" s="286">
        <v>225</v>
      </c>
      <c r="BR7" s="286">
        <v>225</v>
      </c>
      <c r="BS7" s="286">
        <v>225</v>
      </c>
      <c r="BT7" s="286">
        <v>225</v>
      </c>
      <c r="BU7" s="286">
        <f t="shared" si="15"/>
        <v>2700</v>
      </c>
      <c r="BV7" s="277"/>
      <c r="BW7" s="286">
        <f t="shared" si="16"/>
        <v>833.33333333333337</v>
      </c>
      <c r="BX7" s="286">
        <f t="shared" si="16"/>
        <v>833.33333333333337</v>
      </c>
      <c r="BY7" s="286">
        <f t="shared" si="16"/>
        <v>833.33333333333337</v>
      </c>
      <c r="BZ7" s="286">
        <f t="shared" si="16"/>
        <v>833.33333333333337</v>
      </c>
      <c r="CA7" s="286">
        <f t="shared" si="16"/>
        <v>833.33333333333337</v>
      </c>
      <c r="CB7" s="286">
        <f t="shared" si="16"/>
        <v>833.33333333333337</v>
      </c>
      <c r="CC7" s="286">
        <f t="shared" si="16"/>
        <v>833.33333333333337</v>
      </c>
      <c r="CD7" s="286">
        <f t="shared" si="16"/>
        <v>833.33333333333337</v>
      </c>
      <c r="CE7" s="286">
        <f t="shared" si="16"/>
        <v>833.33333333333337</v>
      </c>
      <c r="CF7" s="286">
        <f t="shared" si="16"/>
        <v>833.33333333333337</v>
      </c>
      <c r="CG7" s="286">
        <f t="shared" si="16"/>
        <v>833.33333333333337</v>
      </c>
      <c r="CH7" s="286">
        <f t="shared" si="16"/>
        <v>833.33333333333337</v>
      </c>
      <c r="CI7" s="286">
        <f t="shared" si="17"/>
        <v>10000</v>
      </c>
      <c r="CJ7" s="277"/>
      <c r="CK7" s="286">
        <f t="shared" ref="CK7:CK9" si="37">$P7/12</f>
        <v>41.666666666666664</v>
      </c>
      <c r="CL7" s="286">
        <f t="shared" si="18"/>
        <v>41.666666666666664</v>
      </c>
      <c r="CM7" s="286">
        <f t="shared" si="18"/>
        <v>41.666666666666664</v>
      </c>
      <c r="CN7" s="286">
        <f t="shared" si="18"/>
        <v>41.666666666666664</v>
      </c>
      <c r="CO7" s="286">
        <f t="shared" si="18"/>
        <v>41.666666666666664</v>
      </c>
      <c r="CP7" s="286">
        <f t="shared" si="18"/>
        <v>41.666666666666664</v>
      </c>
      <c r="CQ7" s="286">
        <f t="shared" si="18"/>
        <v>41.666666666666664</v>
      </c>
      <c r="CR7" s="286">
        <f t="shared" si="18"/>
        <v>41.666666666666664</v>
      </c>
      <c r="CS7" s="286">
        <f t="shared" si="18"/>
        <v>41.666666666666664</v>
      </c>
      <c r="CT7" s="286">
        <f t="shared" si="18"/>
        <v>41.666666666666664</v>
      </c>
      <c r="CU7" s="286">
        <f t="shared" si="18"/>
        <v>41.666666666666664</v>
      </c>
      <c r="CV7" s="286">
        <f t="shared" si="18"/>
        <v>41.666666666666664</v>
      </c>
      <c r="CW7" s="286">
        <f t="shared" si="19"/>
        <v>500.00000000000006</v>
      </c>
      <c r="CX7" s="277"/>
      <c r="CY7" s="286">
        <f t="shared" si="20"/>
        <v>1204</v>
      </c>
      <c r="CZ7" s="286">
        <f t="shared" si="20"/>
        <v>1204</v>
      </c>
      <c r="DA7" s="286">
        <f t="shared" si="20"/>
        <v>1204</v>
      </c>
      <c r="DB7" s="286">
        <f t="shared" si="20"/>
        <v>1204</v>
      </c>
      <c r="DC7" s="286">
        <f t="shared" si="20"/>
        <v>1204</v>
      </c>
      <c r="DD7" s="286">
        <f t="shared" si="20"/>
        <v>1204</v>
      </c>
      <c r="DE7" s="286">
        <f t="shared" si="20"/>
        <v>1204</v>
      </c>
      <c r="DF7" s="286">
        <f t="shared" si="20"/>
        <v>1204</v>
      </c>
      <c r="DG7" s="286">
        <f t="shared" si="20"/>
        <v>1204</v>
      </c>
      <c r="DH7" s="286">
        <f t="shared" si="20"/>
        <v>1204</v>
      </c>
      <c r="DI7" s="286">
        <f t="shared" si="20"/>
        <v>1204</v>
      </c>
      <c r="DJ7" s="286">
        <f t="shared" si="20"/>
        <v>1204</v>
      </c>
      <c r="DK7" s="286">
        <f t="shared" si="21"/>
        <v>14448</v>
      </c>
      <c r="DL7" s="277"/>
      <c r="DM7" s="286">
        <v>1500</v>
      </c>
      <c r="DN7" s="286">
        <v>0</v>
      </c>
      <c r="DO7" s="286">
        <v>0</v>
      </c>
      <c r="DP7" s="286">
        <v>0</v>
      </c>
      <c r="DQ7" s="286">
        <v>0</v>
      </c>
      <c r="DR7" s="286">
        <v>0</v>
      </c>
      <c r="DS7" s="286">
        <v>0</v>
      </c>
      <c r="DT7" s="286">
        <v>0</v>
      </c>
      <c r="DU7" s="286">
        <v>0</v>
      </c>
      <c r="DV7" s="286">
        <v>0</v>
      </c>
      <c r="DW7" s="286">
        <v>0</v>
      </c>
      <c r="DX7" s="286">
        <v>0</v>
      </c>
      <c r="DY7" s="286">
        <f t="shared" si="22"/>
        <v>1500</v>
      </c>
      <c r="DZ7" s="277"/>
      <c r="EA7" s="286">
        <f t="shared" ref="EA7:EA9" si="38">SUM(AG7,AU7,BI7,BW7,CK7,CY7,DM7)</f>
        <v>5761.7272727272721</v>
      </c>
      <c r="EB7" s="286">
        <f t="shared" si="23"/>
        <v>4261.7272727272721</v>
      </c>
      <c r="EC7" s="286">
        <f t="shared" si="24"/>
        <v>4261.7272727272721</v>
      </c>
      <c r="ED7" s="286">
        <f t="shared" si="25"/>
        <v>4261.7272727272721</v>
      </c>
      <c r="EE7" s="286">
        <f t="shared" si="26"/>
        <v>4261.7272727272721</v>
      </c>
      <c r="EF7" s="286">
        <f t="shared" si="27"/>
        <v>4261.7272727272721</v>
      </c>
      <c r="EG7" s="286">
        <f t="shared" si="28"/>
        <v>4261.7272727272721</v>
      </c>
      <c r="EH7" s="286">
        <f t="shared" si="29"/>
        <v>4261.7272727272721</v>
      </c>
      <c r="EI7" s="286">
        <f t="shared" si="30"/>
        <v>4261.7272727272721</v>
      </c>
      <c r="EJ7" s="286">
        <f t="shared" si="31"/>
        <v>4261.7272727272721</v>
      </c>
      <c r="EK7" s="286">
        <f t="shared" si="32"/>
        <v>4261.7272727272721</v>
      </c>
      <c r="EL7" s="286">
        <f t="shared" si="33"/>
        <v>4261.7272727272721</v>
      </c>
      <c r="EM7" s="286">
        <f t="shared" si="34"/>
        <v>52640.727272727265</v>
      </c>
    </row>
    <row r="8" spans="1:144" s="280" customFormat="1" ht="18.95" customHeight="1" outlineLevel="1">
      <c r="A8" s="280">
        <f t="shared" si="9"/>
        <v>59007.966942148756</v>
      </c>
      <c r="B8" s="281"/>
      <c r="C8" s="282"/>
      <c r="D8" s="282" t="s">
        <v>159</v>
      </c>
      <c r="E8" s="282" t="s">
        <v>461</v>
      </c>
      <c r="F8" s="249">
        <v>1100</v>
      </c>
      <c r="G8" s="249" t="s">
        <v>149</v>
      </c>
      <c r="H8" s="283">
        <v>0</v>
      </c>
      <c r="I8" s="283">
        <v>0</v>
      </c>
      <c r="J8" s="282" t="s">
        <v>160</v>
      </c>
      <c r="K8" s="282">
        <v>2</v>
      </c>
      <c r="L8" s="284">
        <v>6.4</v>
      </c>
      <c r="M8" s="283">
        <v>1000</v>
      </c>
      <c r="N8" s="285">
        <v>3000</v>
      </c>
      <c r="O8" s="283">
        <v>10000</v>
      </c>
      <c r="P8" s="283">
        <v>500</v>
      </c>
      <c r="Q8" s="283">
        <v>24684</v>
      </c>
      <c r="R8" s="277"/>
      <c r="S8" s="286">
        <f t="shared" si="10"/>
        <v>0</v>
      </c>
      <c r="T8" s="286">
        <f t="shared" si="10"/>
        <v>0</v>
      </c>
      <c r="U8" s="286">
        <f t="shared" si="10"/>
        <v>0</v>
      </c>
      <c r="V8" s="286">
        <f t="shared" si="10"/>
        <v>0</v>
      </c>
      <c r="W8" s="286">
        <f t="shared" si="10"/>
        <v>0</v>
      </c>
      <c r="X8" s="286">
        <f t="shared" si="10"/>
        <v>0</v>
      </c>
      <c r="Y8" s="286">
        <f t="shared" si="10"/>
        <v>0</v>
      </c>
      <c r="Z8" s="286">
        <f t="shared" si="10"/>
        <v>0</v>
      </c>
      <c r="AA8" s="286">
        <f t="shared" si="10"/>
        <v>0</v>
      </c>
      <c r="AB8" s="286">
        <f t="shared" si="10"/>
        <v>0</v>
      </c>
      <c r="AC8" s="286">
        <f t="shared" si="10"/>
        <v>0</v>
      </c>
      <c r="AD8" s="286">
        <f t="shared" si="10"/>
        <v>0</v>
      </c>
      <c r="AE8" s="286">
        <f t="shared" si="11"/>
        <v>0</v>
      </c>
      <c r="AF8" s="277"/>
      <c r="AG8" s="286">
        <f t="shared" si="12"/>
        <v>0</v>
      </c>
      <c r="AH8" s="286">
        <f t="shared" si="12"/>
        <v>0</v>
      </c>
      <c r="AI8" s="286">
        <f t="shared" si="12"/>
        <v>0</v>
      </c>
      <c r="AJ8" s="286">
        <f t="shared" si="12"/>
        <v>0</v>
      </c>
      <c r="AK8" s="286">
        <f t="shared" si="12"/>
        <v>0</v>
      </c>
      <c r="AL8" s="286">
        <f t="shared" si="12"/>
        <v>0</v>
      </c>
      <c r="AM8" s="286">
        <f t="shared" si="12"/>
        <v>0</v>
      </c>
      <c r="AN8" s="286">
        <f t="shared" si="12"/>
        <v>0</v>
      </c>
      <c r="AO8" s="286">
        <f t="shared" si="12"/>
        <v>0</v>
      </c>
      <c r="AP8" s="286">
        <f t="shared" si="12"/>
        <v>0</v>
      </c>
      <c r="AQ8" s="286">
        <f t="shared" si="12"/>
        <v>0</v>
      </c>
      <c r="AR8" s="286">
        <f t="shared" si="12"/>
        <v>0</v>
      </c>
      <c r="AS8" s="286">
        <f t="shared" si="13"/>
        <v>0</v>
      </c>
      <c r="AT8" s="277"/>
      <c r="AU8" s="286">
        <f t="shared" si="35"/>
        <v>1560.3305785123966</v>
      </c>
      <c r="AV8" s="286">
        <f t="shared" si="14"/>
        <v>1560.3305785123966</v>
      </c>
      <c r="AW8" s="286">
        <f t="shared" si="14"/>
        <v>1560.3305785123966</v>
      </c>
      <c r="AX8" s="286">
        <f t="shared" si="14"/>
        <v>1560.3305785123966</v>
      </c>
      <c r="AY8" s="286">
        <f t="shared" si="14"/>
        <v>1560.3305785123966</v>
      </c>
      <c r="AZ8" s="286">
        <f t="shared" si="14"/>
        <v>1560.3305785123966</v>
      </c>
      <c r="BA8" s="286">
        <f t="shared" si="14"/>
        <v>1560.3305785123966</v>
      </c>
      <c r="BB8" s="286">
        <f t="shared" si="14"/>
        <v>1560.3305785123966</v>
      </c>
      <c r="BC8" s="286">
        <f t="shared" si="14"/>
        <v>1560.3305785123966</v>
      </c>
      <c r="BD8" s="286">
        <f t="shared" si="14"/>
        <v>1560.3305785123966</v>
      </c>
      <c r="BE8" s="286">
        <f t="shared" si="14"/>
        <v>1560.3305785123966</v>
      </c>
      <c r="BF8" s="286">
        <f t="shared" si="14"/>
        <v>1560.3305785123966</v>
      </c>
      <c r="BG8" s="286">
        <f t="shared" si="36"/>
        <v>18723.966942148756</v>
      </c>
      <c r="BH8" s="277"/>
      <c r="BI8" s="286">
        <v>300</v>
      </c>
      <c r="BJ8" s="286">
        <v>300</v>
      </c>
      <c r="BK8" s="286">
        <v>300</v>
      </c>
      <c r="BL8" s="286">
        <v>300</v>
      </c>
      <c r="BM8" s="286">
        <v>300</v>
      </c>
      <c r="BN8" s="286">
        <v>300</v>
      </c>
      <c r="BO8" s="286">
        <v>300</v>
      </c>
      <c r="BP8" s="286">
        <v>300</v>
      </c>
      <c r="BQ8" s="286">
        <v>300</v>
      </c>
      <c r="BR8" s="286">
        <v>300</v>
      </c>
      <c r="BS8" s="286">
        <v>300</v>
      </c>
      <c r="BT8" s="286">
        <v>300</v>
      </c>
      <c r="BU8" s="286">
        <f t="shared" si="15"/>
        <v>3600</v>
      </c>
      <c r="BV8" s="277"/>
      <c r="BW8" s="286">
        <f t="shared" si="16"/>
        <v>833.33333333333337</v>
      </c>
      <c r="BX8" s="286">
        <f t="shared" si="16"/>
        <v>833.33333333333337</v>
      </c>
      <c r="BY8" s="286">
        <f t="shared" si="16"/>
        <v>833.33333333333337</v>
      </c>
      <c r="BZ8" s="286">
        <f t="shared" si="16"/>
        <v>833.33333333333337</v>
      </c>
      <c r="CA8" s="286">
        <f t="shared" si="16"/>
        <v>833.33333333333337</v>
      </c>
      <c r="CB8" s="286">
        <f t="shared" si="16"/>
        <v>833.33333333333337</v>
      </c>
      <c r="CC8" s="286">
        <f t="shared" si="16"/>
        <v>833.33333333333337</v>
      </c>
      <c r="CD8" s="286">
        <f t="shared" si="16"/>
        <v>833.33333333333337</v>
      </c>
      <c r="CE8" s="286">
        <f t="shared" si="16"/>
        <v>833.33333333333337</v>
      </c>
      <c r="CF8" s="286">
        <f t="shared" si="16"/>
        <v>833.33333333333337</v>
      </c>
      <c r="CG8" s="286">
        <f t="shared" si="16"/>
        <v>833.33333333333337</v>
      </c>
      <c r="CH8" s="286">
        <f t="shared" si="16"/>
        <v>833.33333333333337</v>
      </c>
      <c r="CI8" s="286">
        <f t="shared" si="17"/>
        <v>10000</v>
      </c>
      <c r="CJ8" s="277"/>
      <c r="CK8" s="286">
        <f t="shared" si="37"/>
        <v>41.666666666666664</v>
      </c>
      <c r="CL8" s="286">
        <f t="shared" si="18"/>
        <v>41.666666666666664</v>
      </c>
      <c r="CM8" s="286">
        <f t="shared" si="18"/>
        <v>41.666666666666664</v>
      </c>
      <c r="CN8" s="286">
        <f t="shared" si="18"/>
        <v>41.666666666666664</v>
      </c>
      <c r="CO8" s="286">
        <f t="shared" si="18"/>
        <v>41.666666666666664</v>
      </c>
      <c r="CP8" s="286">
        <f t="shared" si="18"/>
        <v>41.666666666666664</v>
      </c>
      <c r="CQ8" s="286">
        <f t="shared" si="18"/>
        <v>41.666666666666664</v>
      </c>
      <c r="CR8" s="286">
        <f t="shared" si="18"/>
        <v>41.666666666666664</v>
      </c>
      <c r="CS8" s="286">
        <f t="shared" si="18"/>
        <v>41.666666666666664</v>
      </c>
      <c r="CT8" s="286">
        <f t="shared" si="18"/>
        <v>41.666666666666664</v>
      </c>
      <c r="CU8" s="286">
        <f t="shared" si="18"/>
        <v>41.666666666666664</v>
      </c>
      <c r="CV8" s="286">
        <f t="shared" si="18"/>
        <v>41.666666666666664</v>
      </c>
      <c r="CW8" s="286">
        <f t="shared" si="19"/>
        <v>500.00000000000006</v>
      </c>
      <c r="CX8" s="277"/>
      <c r="CY8" s="286">
        <f t="shared" si="20"/>
        <v>2057</v>
      </c>
      <c r="CZ8" s="286">
        <f t="shared" si="20"/>
        <v>2057</v>
      </c>
      <c r="DA8" s="286">
        <f t="shared" si="20"/>
        <v>2057</v>
      </c>
      <c r="DB8" s="286">
        <f t="shared" si="20"/>
        <v>2057</v>
      </c>
      <c r="DC8" s="286">
        <f t="shared" si="20"/>
        <v>2057</v>
      </c>
      <c r="DD8" s="286">
        <f t="shared" si="20"/>
        <v>2057</v>
      </c>
      <c r="DE8" s="286">
        <f t="shared" si="20"/>
        <v>2057</v>
      </c>
      <c r="DF8" s="286">
        <f t="shared" si="20"/>
        <v>2057</v>
      </c>
      <c r="DG8" s="286">
        <f t="shared" si="20"/>
        <v>2057</v>
      </c>
      <c r="DH8" s="286">
        <f t="shared" si="20"/>
        <v>2057</v>
      </c>
      <c r="DI8" s="286">
        <f t="shared" si="20"/>
        <v>2057</v>
      </c>
      <c r="DJ8" s="286">
        <f t="shared" si="20"/>
        <v>2057</v>
      </c>
      <c r="DK8" s="286">
        <f t="shared" si="21"/>
        <v>24684</v>
      </c>
      <c r="DL8" s="277"/>
      <c r="DM8" s="286">
        <v>1500</v>
      </c>
      <c r="DN8" s="286">
        <v>0</v>
      </c>
      <c r="DO8" s="286">
        <v>0</v>
      </c>
      <c r="DP8" s="286">
        <v>0</v>
      </c>
      <c r="DQ8" s="286">
        <v>0</v>
      </c>
      <c r="DR8" s="286">
        <v>0</v>
      </c>
      <c r="DS8" s="286">
        <v>0</v>
      </c>
      <c r="DT8" s="286">
        <v>0</v>
      </c>
      <c r="DU8" s="286">
        <v>0</v>
      </c>
      <c r="DV8" s="286">
        <v>0</v>
      </c>
      <c r="DW8" s="286">
        <v>0</v>
      </c>
      <c r="DX8" s="286">
        <v>0</v>
      </c>
      <c r="DY8" s="286">
        <f t="shared" si="22"/>
        <v>1500</v>
      </c>
      <c r="DZ8" s="277"/>
      <c r="EA8" s="286">
        <f t="shared" si="38"/>
        <v>6292.3305785123966</v>
      </c>
      <c r="EB8" s="286">
        <f t="shared" si="23"/>
        <v>4792.3305785123966</v>
      </c>
      <c r="EC8" s="286">
        <f t="shared" si="24"/>
        <v>4792.3305785123966</v>
      </c>
      <c r="ED8" s="286">
        <f t="shared" si="25"/>
        <v>4792.3305785123966</v>
      </c>
      <c r="EE8" s="286">
        <f t="shared" si="26"/>
        <v>4792.3305785123966</v>
      </c>
      <c r="EF8" s="286">
        <f t="shared" si="27"/>
        <v>4792.3305785123966</v>
      </c>
      <c r="EG8" s="286">
        <f t="shared" si="28"/>
        <v>4792.3305785123966</v>
      </c>
      <c r="EH8" s="286">
        <f t="shared" si="29"/>
        <v>4792.3305785123966</v>
      </c>
      <c r="EI8" s="286">
        <f t="shared" si="30"/>
        <v>4792.3305785123966</v>
      </c>
      <c r="EJ8" s="286">
        <f t="shared" si="31"/>
        <v>4792.3305785123966</v>
      </c>
      <c r="EK8" s="286">
        <f t="shared" si="32"/>
        <v>4792.3305785123966</v>
      </c>
      <c r="EL8" s="286">
        <f t="shared" si="33"/>
        <v>4792.3305785123966</v>
      </c>
      <c r="EM8" s="286">
        <f t="shared" si="34"/>
        <v>59007.966942148756</v>
      </c>
    </row>
    <row r="9" spans="1:144" s="280" customFormat="1" ht="18.95" customHeight="1" outlineLevel="1">
      <c r="A9" s="280">
        <f t="shared" si="9"/>
        <v>64876.561983471081</v>
      </c>
      <c r="B9" s="281"/>
      <c r="C9" s="282"/>
      <c r="D9" s="282" t="s">
        <v>159</v>
      </c>
      <c r="E9" s="282" t="s">
        <v>462</v>
      </c>
      <c r="F9" s="249">
        <v>4100</v>
      </c>
      <c r="G9" s="249" t="s">
        <v>54</v>
      </c>
      <c r="H9" s="283">
        <v>0</v>
      </c>
      <c r="I9" s="283">
        <v>0</v>
      </c>
      <c r="J9" s="282" t="s">
        <v>160</v>
      </c>
      <c r="K9" s="282">
        <v>2</v>
      </c>
      <c r="L9" s="284">
        <v>6.1</v>
      </c>
      <c r="M9" s="283">
        <v>2000</v>
      </c>
      <c r="N9" s="285">
        <v>2400</v>
      </c>
      <c r="O9" s="283">
        <v>10000</v>
      </c>
      <c r="P9" s="283">
        <v>500</v>
      </c>
      <c r="Q9" s="283">
        <v>13584</v>
      </c>
      <c r="R9" s="277"/>
      <c r="S9" s="286">
        <f t="shared" si="10"/>
        <v>0</v>
      </c>
      <c r="T9" s="286">
        <f t="shared" si="10"/>
        <v>0</v>
      </c>
      <c r="U9" s="286">
        <f t="shared" si="10"/>
        <v>0</v>
      </c>
      <c r="V9" s="286">
        <f t="shared" si="10"/>
        <v>0</v>
      </c>
      <c r="W9" s="286">
        <f t="shared" si="10"/>
        <v>0</v>
      </c>
      <c r="X9" s="286">
        <f t="shared" si="10"/>
        <v>0</v>
      </c>
      <c r="Y9" s="286">
        <f t="shared" si="10"/>
        <v>0</v>
      </c>
      <c r="Z9" s="286">
        <f t="shared" si="10"/>
        <v>0</v>
      </c>
      <c r="AA9" s="286">
        <f t="shared" si="10"/>
        <v>0</v>
      </c>
      <c r="AB9" s="286">
        <f t="shared" si="10"/>
        <v>0</v>
      </c>
      <c r="AC9" s="286">
        <f t="shared" si="10"/>
        <v>0</v>
      </c>
      <c r="AD9" s="286">
        <f t="shared" si="10"/>
        <v>0</v>
      </c>
      <c r="AE9" s="286">
        <f t="shared" si="11"/>
        <v>0</v>
      </c>
      <c r="AF9" s="277"/>
      <c r="AG9" s="286">
        <f t="shared" si="12"/>
        <v>0</v>
      </c>
      <c r="AH9" s="286">
        <f t="shared" si="12"/>
        <v>0</v>
      </c>
      <c r="AI9" s="286">
        <f t="shared" si="12"/>
        <v>0</v>
      </c>
      <c r="AJ9" s="286">
        <f t="shared" si="12"/>
        <v>0</v>
      </c>
      <c r="AK9" s="286">
        <f t="shared" si="12"/>
        <v>0</v>
      </c>
      <c r="AL9" s="286">
        <f t="shared" si="12"/>
        <v>0</v>
      </c>
      <c r="AM9" s="286">
        <f t="shared" si="12"/>
        <v>0</v>
      </c>
      <c r="AN9" s="286">
        <f t="shared" si="12"/>
        <v>0</v>
      </c>
      <c r="AO9" s="286">
        <f t="shared" si="12"/>
        <v>0</v>
      </c>
      <c r="AP9" s="286">
        <f t="shared" si="12"/>
        <v>0</v>
      </c>
      <c r="AQ9" s="286">
        <f t="shared" si="12"/>
        <v>0</v>
      </c>
      <c r="AR9" s="286">
        <f t="shared" si="12"/>
        <v>0</v>
      </c>
      <c r="AS9" s="286">
        <f t="shared" si="13"/>
        <v>0</v>
      </c>
      <c r="AT9" s="277"/>
      <c r="AU9" s="286">
        <f t="shared" si="35"/>
        <v>2974.3801652892562</v>
      </c>
      <c r="AV9" s="286">
        <f t="shared" si="14"/>
        <v>2974.3801652892562</v>
      </c>
      <c r="AW9" s="286">
        <f t="shared" si="14"/>
        <v>2974.3801652892562</v>
      </c>
      <c r="AX9" s="286">
        <f t="shared" si="14"/>
        <v>2974.3801652892562</v>
      </c>
      <c r="AY9" s="286">
        <f t="shared" si="14"/>
        <v>2974.3801652892562</v>
      </c>
      <c r="AZ9" s="286">
        <f t="shared" si="14"/>
        <v>2974.3801652892562</v>
      </c>
      <c r="BA9" s="286">
        <f t="shared" si="14"/>
        <v>2974.3801652892562</v>
      </c>
      <c r="BB9" s="286">
        <f t="shared" si="14"/>
        <v>2974.3801652892562</v>
      </c>
      <c r="BC9" s="286">
        <f t="shared" si="14"/>
        <v>2974.3801652892562</v>
      </c>
      <c r="BD9" s="286">
        <f t="shared" si="14"/>
        <v>2974.3801652892562</v>
      </c>
      <c r="BE9" s="286">
        <f t="shared" si="14"/>
        <v>2974.3801652892562</v>
      </c>
      <c r="BF9" s="286">
        <f t="shared" si="14"/>
        <v>2974.3801652892562</v>
      </c>
      <c r="BG9" s="286">
        <f t="shared" si="36"/>
        <v>35692.561983471081</v>
      </c>
      <c r="BH9" s="277"/>
      <c r="BI9" s="286">
        <v>300</v>
      </c>
      <c r="BJ9" s="286">
        <v>300</v>
      </c>
      <c r="BK9" s="286">
        <v>300</v>
      </c>
      <c r="BL9" s="286">
        <v>300</v>
      </c>
      <c r="BM9" s="286">
        <v>300</v>
      </c>
      <c r="BN9" s="286">
        <v>300</v>
      </c>
      <c r="BO9" s="286">
        <v>300</v>
      </c>
      <c r="BP9" s="286">
        <v>300</v>
      </c>
      <c r="BQ9" s="286">
        <v>300</v>
      </c>
      <c r="BR9" s="286">
        <v>300</v>
      </c>
      <c r="BS9" s="286">
        <v>300</v>
      </c>
      <c r="BT9" s="286">
        <v>300</v>
      </c>
      <c r="BU9" s="286">
        <f t="shared" si="15"/>
        <v>3600</v>
      </c>
      <c r="BV9" s="277"/>
      <c r="BW9" s="286">
        <f t="shared" si="16"/>
        <v>833.33333333333337</v>
      </c>
      <c r="BX9" s="286">
        <f t="shared" si="16"/>
        <v>833.33333333333337</v>
      </c>
      <c r="BY9" s="286">
        <f t="shared" si="16"/>
        <v>833.33333333333337</v>
      </c>
      <c r="BZ9" s="286">
        <f t="shared" si="16"/>
        <v>833.33333333333337</v>
      </c>
      <c r="CA9" s="286">
        <f t="shared" si="16"/>
        <v>833.33333333333337</v>
      </c>
      <c r="CB9" s="286">
        <f t="shared" si="16"/>
        <v>833.33333333333337</v>
      </c>
      <c r="CC9" s="286">
        <f t="shared" si="16"/>
        <v>833.33333333333337</v>
      </c>
      <c r="CD9" s="286">
        <f t="shared" si="16"/>
        <v>833.33333333333337</v>
      </c>
      <c r="CE9" s="286">
        <f t="shared" si="16"/>
        <v>833.33333333333337</v>
      </c>
      <c r="CF9" s="286">
        <f t="shared" si="16"/>
        <v>833.33333333333337</v>
      </c>
      <c r="CG9" s="286">
        <f t="shared" si="16"/>
        <v>833.33333333333337</v>
      </c>
      <c r="CH9" s="286">
        <f t="shared" si="16"/>
        <v>833.33333333333337</v>
      </c>
      <c r="CI9" s="286">
        <f t="shared" si="17"/>
        <v>10000</v>
      </c>
      <c r="CJ9" s="277"/>
      <c r="CK9" s="286">
        <f t="shared" si="37"/>
        <v>41.666666666666664</v>
      </c>
      <c r="CL9" s="286">
        <f t="shared" si="18"/>
        <v>41.666666666666664</v>
      </c>
      <c r="CM9" s="286">
        <f t="shared" si="18"/>
        <v>41.666666666666664</v>
      </c>
      <c r="CN9" s="286">
        <f t="shared" si="18"/>
        <v>41.666666666666664</v>
      </c>
      <c r="CO9" s="286">
        <f t="shared" si="18"/>
        <v>41.666666666666664</v>
      </c>
      <c r="CP9" s="286">
        <f t="shared" si="18"/>
        <v>41.666666666666664</v>
      </c>
      <c r="CQ9" s="286">
        <f t="shared" si="18"/>
        <v>41.666666666666664</v>
      </c>
      <c r="CR9" s="286">
        <f t="shared" si="18"/>
        <v>41.666666666666664</v>
      </c>
      <c r="CS9" s="286">
        <f t="shared" si="18"/>
        <v>41.666666666666664</v>
      </c>
      <c r="CT9" s="286">
        <f t="shared" si="18"/>
        <v>41.666666666666664</v>
      </c>
      <c r="CU9" s="286">
        <f t="shared" si="18"/>
        <v>41.666666666666664</v>
      </c>
      <c r="CV9" s="286">
        <f t="shared" si="18"/>
        <v>41.666666666666664</v>
      </c>
      <c r="CW9" s="286">
        <f t="shared" si="19"/>
        <v>500.00000000000006</v>
      </c>
      <c r="CX9" s="277"/>
      <c r="CY9" s="286">
        <f t="shared" si="20"/>
        <v>1132</v>
      </c>
      <c r="CZ9" s="286">
        <f t="shared" si="20"/>
        <v>1132</v>
      </c>
      <c r="DA9" s="286">
        <f t="shared" si="20"/>
        <v>1132</v>
      </c>
      <c r="DB9" s="286">
        <f t="shared" si="20"/>
        <v>1132</v>
      </c>
      <c r="DC9" s="286">
        <f t="shared" si="20"/>
        <v>1132</v>
      </c>
      <c r="DD9" s="286">
        <f t="shared" si="20"/>
        <v>1132</v>
      </c>
      <c r="DE9" s="286">
        <f t="shared" si="20"/>
        <v>1132</v>
      </c>
      <c r="DF9" s="286">
        <f t="shared" si="20"/>
        <v>1132</v>
      </c>
      <c r="DG9" s="286">
        <f t="shared" si="20"/>
        <v>1132</v>
      </c>
      <c r="DH9" s="286">
        <f t="shared" si="20"/>
        <v>1132</v>
      </c>
      <c r="DI9" s="286">
        <f t="shared" si="20"/>
        <v>1132</v>
      </c>
      <c r="DJ9" s="286">
        <f t="shared" si="20"/>
        <v>1132</v>
      </c>
      <c r="DK9" s="286">
        <f t="shared" si="21"/>
        <v>13584</v>
      </c>
      <c r="DL9" s="277"/>
      <c r="DM9" s="286">
        <v>1500</v>
      </c>
      <c r="DN9" s="286">
        <v>0</v>
      </c>
      <c r="DO9" s="286">
        <v>0</v>
      </c>
      <c r="DP9" s="286">
        <v>0</v>
      </c>
      <c r="DQ9" s="286">
        <v>0</v>
      </c>
      <c r="DR9" s="286">
        <v>0</v>
      </c>
      <c r="DS9" s="286">
        <v>0</v>
      </c>
      <c r="DT9" s="286">
        <v>0</v>
      </c>
      <c r="DU9" s="286">
        <v>0</v>
      </c>
      <c r="DV9" s="286">
        <v>0</v>
      </c>
      <c r="DW9" s="286">
        <v>0</v>
      </c>
      <c r="DX9" s="286">
        <v>0</v>
      </c>
      <c r="DY9" s="286">
        <f t="shared" si="22"/>
        <v>1500</v>
      </c>
      <c r="DZ9" s="277"/>
      <c r="EA9" s="286">
        <f t="shared" si="38"/>
        <v>6781.3801652892562</v>
      </c>
      <c r="EB9" s="286">
        <f t="shared" si="23"/>
        <v>5281.3801652892562</v>
      </c>
      <c r="EC9" s="286">
        <f t="shared" si="24"/>
        <v>5281.3801652892562</v>
      </c>
      <c r="ED9" s="286">
        <f t="shared" si="25"/>
        <v>5281.3801652892562</v>
      </c>
      <c r="EE9" s="286">
        <f t="shared" si="26"/>
        <v>5281.3801652892562</v>
      </c>
      <c r="EF9" s="286">
        <f t="shared" si="27"/>
        <v>5281.3801652892562</v>
      </c>
      <c r="EG9" s="286">
        <f t="shared" si="28"/>
        <v>5281.3801652892562</v>
      </c>
      <c r="EH9" s="286">
        <f t="shared" si="29"/>
        <v>5281.3801652892562</v>
      </c>
      <c r="EI9" s="286">
        <f t="shared" si="30"/>
        <v>5281.3801652892562</v>
      </c>
      <c r="EJ9" s="286">
        <f t="shared" si="31"/>
        <v>5281.3801652892562</v>
      </c>
      <c r="EK9" s="286">
        <f t="shared" si="32"/>
        <v>5281.3801652892562</v>
      </c>
      <c r="EL9" s="286">
        <f t="shared" si="33"/>
        <v>5281.3801652892562</v>
      </c>
      <c r="EM9" s="286">
        <f t="shared" si="34"/>
        <v>64876.561983471089</v>
      </c>
    </row>
    <row r="10" spans="1:144" s="289" customFormat="1" ht="18.95" customHeight="1">
      <c r="B10" s="290"/>
      <c r="C10" s="291"/>
      <c r="D10" s="291"/>
      <c r="E10" s="291"/>
      <c r="F10" s="292"/>
      <c r="G10" s="292"/>
      <c r="H10" s="293"/>
      <c r="I10" s="293"/>
      <c r="J10" s="291"/>
      <c r="K10" s="291"/>
      <c r="L10" s="294"/>
      <c r="M10" s="293"/>
      <c r="N10" s="295"/>
      <c r="O10" s="293"/>
      <c r="P10" s="293"/>
      <c r="Q10" s="293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</row>
    <row r="11" spans="1:144" s="289" customFormat="1" ht="18.95" customHeight="1">
      <c r="B11" s="290"/>
      <c r="C11" s="291"/>
      <c r="D11" s="291"/>
      <c r="E11" s="291"/>
      <c r="F11" s="292">
        <v>1</v>
      </c>
      <c r="G11" s="292">
        <v>2</v>
      </c>
      <c r="H11" s="292">
        <v>3</v>
      </c>
      <c r="I11" s="292">
        <v>4</v>
      </c>
      <c r="J11" s="292">
        <v>5</v>
      </c>
      <c r="K11" s="292">
        <v>6</v>
      </c>
      <c r="L11" s="292">
        <v>7</v>
      </c>
      <c r="M11" s="292">
        <v>8</v>
      </c>
      <c r="N11" s="292">
        <v>9</v>
      </c>
      <c r="O11" s="292">
        <v>10</v>
      </c>
      <c r="P11" s="292">
        <v>11</v>
      </c>
      <c r="Q11" s="292">
        <v>12</v>
      </c>
      <c r="R11" s="292">
        <v>13</v>
      </c>
      <c r="S11" s="292">
        <v>14</v>
      </c>
      <c r="T11" s="292">
        <v>15</v>
      </c>
      <c r="U11" s="292">
        <v>16</v>
      </c>
      <c r="V11" s="292">
        <v>17</v>
      </c>
      <c r="W11" s="292">
        <v>18</v>
      </c>
      <c r="X11" s="292">
        <v>19</v>
      </c>
      <c r="Y11" s="292">
        <v>20</v>
      </c>
      <c r="Z11" s="292">
        <v>21</v>
      </c>
      <c r="AA11" s="292">
        <v>22</v>
      </c>
      <c r="AB11" s="292">
        <v>23</v>
      </c>
      <c r="AC11" s="292">
        <v>24</v>
      </c>
      <c r="AD11" s="292">
        <v>25</v>
      </c>
      <c r="AE11" s="292">
        <v>26</v>
      </c>
      <c r="AF11" s="292">
        <v>27</v>
      </c>
      <c r="AG11" s="292">
        <v>28</v>
      </c>
      <c r="AH11" s="292">
        <v>29</v>
      </c>
      <c r="AI11" s="292">
        <v>30</v>
      </c>
      <c r="AJ11" s="292">
        <v>31</v>
      </c>
      <c r="AK11" s="292">
        <v>32</v>
      </c>
      <c r="AL11" s="292">
        <v>33</v>
      </c>
      <c r="AM11" s="292">
        <v>34</v>
      </c>
      <c r="AN11" s="292">
        <v>35</v>
      </c>
      <c r="AO11" s="292">
        <v>36</v>
      </c>
      <c r="AP11" s="292">
        <v>37</v>
      </c>
      <c r="AQ11" s="292">
        <v>38</v>
      </c>
      <c r="AR11" s="292">
        <v>39</v>
      </c>
      <c r="AS11" s="292">
        <v>40</v>
      </c>
      <c r="AT11" s="292">
        <v>41</v>
      </c>
      <c r="AU11" s="292">
        <v>42</v>
      </c>
      <c r="AV11" s="292">
        <v>43</v>
      </c>
      <c r="AW11" s="292">
        <v>44</v>
      </c>
      <c r="AX11" s="292">
        <v>45</v>
      </c>
      <c r="AY11" s="292">
        <v>46</v>
      </c>
      <c r="AZ11" s="292">
        <v>47</v>
      </c>
      <c r="BA11" s="292">
        <v>48</v>
      </c>
      <c r="BB11" s="292">
        <v>49</v>
      </c>
      <c r="BC11" s="292">
        <v>50</v>
      </c>
      <c r="BD11" s="292">
        <v>51</v>
      </c>
      <c r="BE11" s="292">
        <v>52</v>
      </c>
      <c r="BF11" s="292">
        <v>53</v>
      </c>
      <c r="BG11" s="292">
        <v>54</v>
      </c>
      <c r="BH11" s="292">
        <v>55</v>
      </c>
      <c r="BI11" s="292">
        <v>56</v>
      </c>
      <c r="BJ11" s="292">
        <v>57</v>
      </c>
      <c r="BK11" s="292">
        <v>58</v>
      </c>
      <c r="BL11" s="292">
        <v>59</v>
      </c>
      <c r="BM11" s="292">
        <v>60</v>
      </c>
      <c r="BN11" s="292">
        <v>61</v>
      </c>
      <c r="BO11" s="292">
        <v>62</v>
      </c>
      <c r="BP11" s="292">
        <v>63</v>
      </c>
      <c r="BQ11" s="292">
        <v>64</v>
      </c>
      <c r="BR11" s="292">
        <v>65</v>
      </c>
      <c r="BS11" s="292">
        <v>66</v>
      </c>
      <c r="BT11" s="292">
        <v>67</v>
      </c>
      <c r="BU11" s="292">
        <v>68</v>
      </c>
      <c r="BV11" s="292">
        <v>69</v>
      </c>
      <c r="BW11" s="292">
        <v>70</v>
      </c>
      <c r="BX11" s="292">
        <v>71</v>
      </c>
      <c r="BY11" s="292">
        <v>72</v>
      </c>
      <c r="BZ11" s="292">
        <v>73</v>
      </c>
      <c r="CA11" s="292">
        <v>74</v>
      </c>
      <c r="CB11" s="292">
        <v>75</v>
      </c>
      <c r="CC11" s="292">
        <v>76</v>
      </c>
      <c r="CD11" s="292">
        <v>77</v>
      </c>
      <c r="CE11" s="292">
        <v>78</v>
      </c>
      <c r="CF11" s="292">
        <v>79</v>
      </c>
      <c r="CG11" s="292">
        <v>80</v>
      </c>
      <c r="CH11" s="292">
        <v>81</v>
      </c>
      <c r="CI11" s="292">
        <v>82</v>
      </c>
      <c r="CJ11" s="292">
        <v>83</v>
      </c>
      <c r="CK11" s="292">
        <v>84</v>
      </c>
      <c r="CL11" s="292">
        <v>85</v>
      </c>
      <c r="CM11" s="292">
        <v>86</v>
      </c>
      <c r="CN11" s="292">
        <v>87</v>
      </c>
      <c r="CO11" s="292">
        <v>88</v>
      </c>
      <c r="CP11" s="292">
        <v>89</v>
      </c>
      <c r="CQ11" s="292">
        <v>90</v>
      </c>
      <c r="CR11" s="292">
        <v>91</v>
      </c>
      <c r="CS11" s="292">
        <v>92</v>
      </c>
      <c r="CT11" s="292">
        <v>93</v>
      </c>
      <c r="CU11" s="292">
        <v>94</v>
      </c>
      <c r="CV11" s="292">
        <v>95</v>
      </c>
      <c r="CW11" s="292">
        <v>96</v>
      </c>
      <c r="CX11" s="292">
        <v>97</v>
      </c>
      <c r="CY11" s="292">
        <v>98</v>
      </c>
      <c r="CZ11" s="292">
        <v>99</v>
      </c>
      <c r="DA11" s="292">
        <v>100</v>
      </c>
      <c r="DB11" s="292">
        <v>101</v>
      </c>
      <c r="DC11" s="292">
        <v>102</v>
      </c>
      <c r="DD11" s="292">
        <v>103</v>
      </c>
      <c r="DE11" s="292">
        <v>104</v>
      </c>
      <c r="DF11" s="292">
        <v>105</v>
      </c>
      <c r="DG11" s="292">
        <v>106</v>
      </c>
      <c r="DH11" s="292">
        <v>107</v>
      </c>
      <c r="DI11" s="292">
        <v>108</v>
      </c>
      <c r="DJ11" s="292">
        <v>109</v>
      </c>
      <c r="DK11" s="292">
        <v>110</v>
      </c>
      <c r="DL11" s="292">
        <v>111</v>
      </c>
      <c r="DM11" s="292">
        <v>112</v>
      </c>
      <c r="DN11" s="292">
        <v>113</v>
      </c>
      <c r="DO11" s="292">
        <v>114</v>
      </c>
      <c r="DP11" s="292">
        <v>115</v>
      </c>
      <c r="DQ11" s="292">
        <v>116</v>
      </c>
      <c r="DR11" s="292">
        <v>117</v>
      </c>
      <c r="DS11" s="292">
        <v>118</v>
      </c>
      <c r="DT11" s="292">
        <v>119</v>
      </c>
      <c r="DU11" s="292">
        <v>120</v>
      </c>
      <c r="DV11" s="292">
        <v>121</v>
      </c>
      <c r="DW11" s="292">
        <v>122</v>
      </c>
      <c r="DX11" s="292">
        <v>123</v>
      </c>
      <c r="DY11" s="292">
        <v>124</v>
      </c>
      <c r="DZ11" s="292">
        <v>125</v>
      </c>
      <c r="EA11" s="292">
        <v>126</v>
      </c>
      <c r="EB11" s="292">
        <v>127</v>
      </c>
      <c r="EC11" s="292">
        <v>128</v>
      </c>
      <c r="ED11" s="292">
        <v>129</v>
      </c>
      <c r="EE11" s="292">
        <v>130</v>
      </c>
      <c r="EF11" s="292">
        <v>131</v>
      </c>
      <c r="EG11" s="292">
        <v>132</v>
      </c>
      <c r="EH11" s="292">
        <v>133</v>
      </c>
      <c r="EI11" s="292">
        <v>134</v>
      </c>
      <c r="EJ11" s="292">
        <v>135</v>
      </c>
      <c r="EK11" s="292">
        <v>136</v>
      </c>
      <c r="EL11" s="292">
        <v>137</v>
      </c>
      <c r="EM11" s="292">
        <v>138</v>
      </c>
    </row>
    <row r="12" spans="1:144" s="265" customFormat="1">
      <c r="A12" s="260"/>
      <c r="B12" s="261"/>
      <c r="C12" s="261"/>
      <c r="D12" s="261"/>
      <c r="E12" s="261"/>
      <c r="F12" s="242" t="s">
        <v>216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2"/>
      <c r="S12" s="263">
        <v>43101</v>
      </c>
      <c r="T12" s="263">
        <v>43132</v>
      </c>
      <c r="U12" s="263">
        <v>43160</v>
      </c>
      <c r="V12" s="263">
        <v>43191</v>
      </c>
      <c r="W12" s="263">
        <v>43221</v>
      </c>
      <c r="X12" s="263">
        <v>43252</v>
      </c>
      <c r="Y12" s="263">
        <v>43282</v>
      </c>
      <c r="Z12" s="263">
        <v>43313</v>
      </c>
      <c r="AA12" s="263">
        <v>43344</v>
      </c>
      <c r="AB12" s="263">
        <v>43374</v>
      </c>
      <c r="AC12" s="263">
        <v>43405</v>
      </c>
      <c r="AD12" s="263">
        <v>43435</v>
      </c>
      <c r="AE12" s="264">
        <v>2018</v>
      </c>
      <c r="AF12" s="262"/>
      <c r="AG12" s="263">
        <v>43101</v>
      </c>
      <c r="AH12" s="263">
        <v>43132</v>
      </c>
      <c r="AI12" s="263">
        <v>43160</v>
      </c>
      <c r="AJ12" s="263">
        <v>43191</v>
      </c>
      <c r="AK12" s="263">
        <v>43221</v>
      </c>
      <c r="AL12" s="263">
        <v>43252</v>
      </c>
      <c r="AM12" s="263">
        <v>43282</v>
      </c>
      <c r="AN12" s="263">
        <v>43313</v>
      </c>
      <c r="AO12" s="263">
        <v>43344</v>
      </c>
      <c r="AP12" s="263">
        <v>43374</v>
      </c>
      <c r="AQ12" s="263">
        <v>43405</v>
      </c>
      <c r="AR12" s="263">
        <v>43435</v>
      </c>
      <c r="AS12" s="264">
        <v>2018</v>
      </c>
      <c r="AT12" s="262"/>
      <c r="AU12" s="263">
        <v>43101</v>
      </c>
      <c r="AV12" s="263">
        <v>43132</v>
      </c>
      <c r="AW12" s="263">
        <v>43160</v>
      </c>
      <c r="AX12" s="263">
        <v>43191</v>
      </c>
      <c r="AY12" s="263">
        <v>43221</v>
      </c>
      <c r="AZ12" s="263">
        <v>43252</v>
      </c>
      <c r="BA12" s="263">
        <v>43282</v>
      </c>
      <c r="BB12" s="263">
        <v>43313</v>
      </c>
      <c r="BC12" s="263">
        <v>43344</v>
      </c>
      <c r="BD12" s="263">
        <v>43374</v>
      </c>
      <c r="BE12" s="263">
        <v>43405</v>
      </c>
      <c r="BF12" s="263">
        <v>43435</v>
      </c>
      <c r="BG12" s="264">
        <v>2018</v>
      </c>
      <c r="BH12" s="262"/>
      <c r="BI12" s="263">
        <v>43101</v>
      </c>
      <c r="BJ12" s="263">
        <v>43132</v>
      </c>
      <c r="BK12" s="263">
        <v>43160</v>
      </c>
      <c r="BL12" s="263">
        <v>43191</v>
      </c>
      <c r="BM12" s="263">
        <v>43221</v>
      </c>
      <c r="BN12" s="263">
        <v>43252</v>
      </c>
      <c r="BO12" s="263">
        <v>43282</v>
      </c>
      <c r="BP12" s="263">
        <v>43313</v>
      </c>
      <c r="BQ12" s="263">
        <v>43344</v>
      </c>
      <c r="BR12" s="263">
        <v>43374</v>
      </c>
      <c r="BS12" s="263">
        <v>43405</v>
      </c>
      <c r="BT12" s="263">
        <v>43435</v>
      </c>
      <c r="BU12" s="264">
        <v>2018</v>
      </c>
      <c r="BV12" s="262"/>
      <c r="BW12" s="263">
        <v>43101</v>
      </c>
      <c r="BX12" s="263">
        <v>43132</v>
      </c>
      <c r="BY12" s="263">
        <v>43160</v>
      </c>
      <c r="BZ12" s="263">
        <v>43191</v>
      </c>
      <c r="CA12" s="263">
        <v>43221</v>
      </c>
      <c r="CB12" s="263">
        <v>43252</v>
      </c>
      <c r="CC12" s="263">
        <v>43282</v>
      </c>
      <c r="CD12" s="263">
        <v>43313</v>
      </c>
      <c r="CE12" s="263">
        <v>43344</v>
      </c>
      <c r="CF12" s="263">
        <v>43374</v>
      </c>
      <c r="CG12" s="263">
        <v>43405</v>
      </c>
      <c r="CH12" s="263">
        <v>43435</v>
      </c>
      <c r="CI12" s="264">
        <v>2018</v>
      </c>
      <c r="CJ12" s="262"/>
      <c r="CK12" s="263">
        <v>43101</v>
      </c>
      <c r="CL12" s="263">
        <v>43132</v>
      </c>
      <c r="CM12" s="263">
        <v>43160</v>
      </c>
      <c r="CN12" s="263">
        <v>43191</v>
      </c>
      <c r="CO12" s="263">
        <v>43221</v>
      </c>
      <c r="CP12" s="263">
        <v>43252</v>
      </c>
      <c r="CQ12" s="263">
        <v>43282</v>
      </c>
      <c r="CR12" s="263">
        <v>43313</v>
      </c>
      <c r="CS12" s="263">
        <v>43344</v>
      </c>
      <c r="CT12" s="263">
        <v>43374</v>
      </c>
      <c r="CU12" s="263">
        <v>43405</v>
      </c>
      <c r="CV12" s="263">
        <v>43435</v>
      </c>
      <c r="CW12" s="264">
        <v>2018</v>
      </c>
      <c r="CX12" s="262"/>
      <c r="CY12" s="263">
        <v>43101</v>
      </c>
      <c r="CZ12" s="263">
        <v>43132</v>
      </c>
      <c r="DA12" s="263">
        <v>43160</v>
      </c>
      <c r="DB12" s="263">
        <v>43191</v>
      </c>
      <c r="DC12" s="263">
        <v>43221</v>
      </c>
      <c r="DD12" s="263">
        <v>43252</v>
      </c>
      <c r="DE12" s="263">
        <v>43282</v>
      </c>
      <c r="DF12" s="263">
        <v>43313</v>
      </c>
      <c r="DG12" s="263">
        <v>43344</v>
      </c>
      <c r="DH12" s="263">
        <v>43374</v>
      </c>
      <c r="DI12" s="263">
        <v>43405</v>
      </c>
      <c r="DJ12" s="263">
        <v>43435</v>
      </c>
      <c r="DK12" s="264">
        <v>2018</v>
      </c>
      <c r="DL12" s="262"/>
      <c r="DM12" s="263">
        <v>43101</v>
      </c>
      <c r="DN12" s="263">
        <v>43132</v>
      </c>
      <c r="DO12" s="263">
        <v>43160</v>
      </c>
      <c r="DP12" s="263">
        <v>43191</v>
      </c>
      <c r="DQ12" s="263">
        <v>43221</v>
      </c>
      <c r="DR12" s="263">
        <v>43252</v>
      </c>
      <c r="DS12" s="263">
        <v>43282</v>
      </c>
      <c r="DT12" s="263">
        <v>43313</v>
      </c>
      <c r="DU12" s="263">
        <v>43344</v>
      </c>
      <c r="DV12" s="263">
        <v>43374</v>
      </c>
      <c r="DW12" s="263">
        <v>43405</v>
      </c>
      <c r="DX12" s="263">
        <v>43435</v>
      </c>
      <c r="DY12" s="264">
        <v>2018</v>
      </c>
      <c r="DZ12" s="262"/>
      <c r="EA12" s="263">
        <v>43101</v>
      </c>
      <c r="EB12" s="263">
        <v>43132</v>
      </c>
      <c r="EC12" s="263">
        <v>43160</v>
      </c>
      <c r="ED12" s="263">
        <v>43191</v>
      </c>
      <c r="EE12" s="263">
        <v>43221</v>
      </c>
      <c r="EF12" s="263">
        <v>43252</v>
      </c>
      <c r="EG12" s="263">
        <v>43282</v>
      </c>
      <c r="EH12" s="263">
        <v>43313</v>
      </c>
      <c r="EI12" s="263">
        <v>43344</v>
      </c>
      <c r="EJ12" s="263">
        <v>43374</v>
      </c>
      <c r="EK12" s="263">
        <v>43405</v>
      </c>
      <c r="EL12" s="263">
        <v>43435</v>
      </c>
      <c r="EM12" s="264">
        <v>2018</v>
      </c>
    </row>
    <row r="13" spans="1:144" s="289" customFormat="1" ht="18.95" customHeight="1">
      <c r="B13" s="290"/>
      <c r="C13" s="291"/>
      <c r="D13" s="291"/>
      <c r="E13" s="291"/>
      <c r="F13" s="248">
        <v>1100</v>
      </c>
      <c r="G13" s="246" t="s">
        <v>149</v>
      </c>
      <c r="H13" s="293"/>
      <c r="I13" s="293"/>
      <c r="J13" s="291"/>
      <c r="K13" s="291"/>
      <c r="L13" s="294"/>
      <c r="M13" s="293"/>
      <c r="N13" s="295"/>
      <c r="O13" s="293"/>
      <c r="P13" s="293"/>
      <c r="Q13" s="293"/>
      <c r="R13" s="296"/>
      <c r="S13" s="296">
        <f t="shared" ref="S13:AE22" si="39">SUMIF($F$6:$F$9,$F13,S$6:S$9)</f>
        <v>0</v>
      </c>
      <c r="T13" s="296">
        <f t="shared" si="39"/>
        <v>0</v>
      </c>
      <c r="U13" s="296">
        <f t="shared" si="39"/>
        <v>0</v>
      </c>
      <c r="V13" s="296">
        <f t="shared" si="39"/>
        <v>0</v>
      </c>
      <c r="W13" s="296">
        <f t="shared" si="39"/>
        <v>0</v>
      </c>
      <c r="X13" s="296">
        <f t="shared" si="39"/>
        <v>0</v>
      </c>
      <c r="Y13" s="296">
        <f t="shared" si="39"/>
        <v>0</v>
      </c>
      <c r="Z13" s="296">
        <f t="shared" si="39"/>
        <v>0</v>
      </c>
      <c r="AA13" s="296">
        <f t="shared" si="39"/>
        <v>0</v>
      </c>
      <c r="AB13" s="296">
        <f t="shared" si="39"/>
        <v>0</v>
      </c>
      <c r="AC13" s="296">
        <f t="shared" si="39"/>
        <v>0</v>
      </c>
      <c r="AD13" s="296">
        <f t="shared" si="39"/>
        <v>0</v>
      </c>
      <c r="AE13" s="296">
        <f t="shared" si="39"/>
        <v>0</v>
      </c>
      <c r="AF13" s="296"/>
      <c r="AG13" s="296">
        <f t="shared" ref="AG13:AS22" si="40">SUMIF($F$6:$F$9,$F13,AG$6:AG$9)</f>
        <v>0</v>
      </c>
      <c r="AH13" s="296">
        <f t="shared" si="40"/>
        <v>0</v>
      </c>
      <c r="AI13" s="296">
        <f t="shared" si="40"/>
        <v>0</v>
      </c>
      <c r="AJ13" s="296">
        <f t="shared" si="40"/>
        <v>0</v>
      </c>
      <c r="AK13" s="296">
        <f t="shared" si="40"/>
        <v>0</v>
      </c>
      <c r="AL13" s="296">
        <f t="shared" si="40"/>
        <v>0</v>
      </c>
      <c r="AM13" s="296">
        <f t="shared" si="40"/>
        <v>0</v>
      </c>
      <c r="AN13" s="296">
        <f t="shared" si="40"/>
        <v>0</v>
      </c>
      <c r="AO13" s="296">
        <f t="shared" si="40"/>
        <v>0</v>
      </c>
      <c r="AP13" s="296">
        <f t="shared" si="40"/>
        <v>0</v>
      </c>
      <c r="AQ13" s="296">
        <f t="shared" si="40"/>
        <v>0</v>
      </c>
      <c r="AR13" s="296">
        <f t="shared" si="40"/>
        <v>0</v>
      </c>
      <c r="AS13" s="296">
        <f t="shared" si="40"/>
        <v>0</v>
      </c>
      <c r="AT13" s="296"/>
      <c r="AU13" s="296">
        <f t="shared" ref="AU13:BG22" si="41">SUMIF($F$6:$F$9,$F13,AU$6:AU$9)</f>
        <v>1560.3305785123966</v>
      </c>
      <c r="AV13" s="296">
        <f t="shared" si="41"/>
        <v>1560.3305785123966</v>
      </c>
      <c r="AW13" s="296">
        <f t="shared" si="41"/>
        <v>1560.3305785123966</v>
      </c>
      <c r="AX13" s="296">
        <f t="shared" si="41"/>
        <v>1560.3305785123966</v>
      </c>
      <c r="AY13" s="296">
        <f t="shared" si="41"/>
        <v>1560.3305785123966</v>
      </c>
      <c r="AZ13" s="296">
        <f t="shared" si="41"/>
        <v>1560.3305785123966</v>
      </c>
      <c r="BA13" s="296">
        <f t="shared" si="41"/>
        <v>1560.3305785123966</v>
      </c>
      <c r="BB13" s="296">
        <f t="shared" si="41"/>
        <v>1560.3305785123966</v>
      </c>
      <c r="BC13" s="296">
        <f t="shared" si="41"/>
        <v>1560.3305785123966</v>
      </c>
      <c r="BD13" s="296">
        <f t="shared" si="41"/>
        <v>1560.3305785123966</v>
      </c>
      <c r="BE13" s="296">
        <f t="shared" si="41"/>
        <v>1560.3305785123966</v>
      </c>
      <c r="BF13" s="296">
        <f t="shared" si="41"/>
        <v>1560.3305785123966</v>
      </c>
      <c r="BG13" s="296">
        <f t="shared" si="41"/>
        <v>18723.966942148756</v>
      </c>
      <c r="BH13" s="296"/>
      <c r="BI13" s="296">
        <f t="shared" ref="BI13:BU22" si="42">SUMIF($F$6:$F$9,$F13,BI$6:BI$9)</f>
        <v>300</v>
      </c>
      <c r="BJ13" s="296">
        <f t="shared" si="42"/>
        <v>300</v>
      </c>
      <c r="BK13" s="296">
        <f t="shared" si="42"/>
        <v>300</v>
      </c>
      <c r="BL13" s="296">
        <f t="shared" si="42"/>
        <v>300</v>
      </c>
      <c r="BM13" s="296">
        <f t="shared" si="42"/>
        <v>300</v>
      </c>
      <c r="BN13" s="296">
        <f t="shared" si="42"/>
        <v>300</v>
      </c>
      <c r="BO13" s="296">
        <f t="shared" si="42"/>
        <v>300</v>
      </c>
      <c r="BP13" s="296">
        <f t="shared" si="42"/>
        <v>300</v>
      </c>
      <c r="BQ13" s="296">
        <f t="shared" si="42"/>
        <v>300</v>
      </c>
      <c r="BR13" s="296">
        <f t="shared" si="42"/>
        <v>300</v>
      </c>
      <c r="BS13" s="296">
        <f t="shared" si="42"/>
        <v>300</v>
      </c>
      <c r="BT13" s="296">
        <f t="shared" si="42"/>
        <v>300</v>
      </c>
      <c r="BU13" s="296">
        <f t="shared" si="42"/>
        <v>3600</v>
      </c>
      <c r="BV13" s="296"/>
      <c r="BW13" s="296">
        <f t="shared" ref="BW13:CI22" si="43">SUMIF($F$6:$F$9,$F13,BW$6:BW$9)</f>
        <v>833.33333333333337</v>
      </c>
      <c r="BX13" s="296">
        <f t="shared" si="43"/>
        <v>833.33333333333337</v>
      </c>
      <c r="BY13" s="296">
        <f t="shared" si="43"/>
        <v>833.33333333333337</v>
      </c>
      <c r="BZ13" s="296">
        <f t="shared" si="43"/>
        <v>833.33333333333337</v>
      </c>
      <c r="CA13" s="296">
        <f t="shared" si="43"/>
        <v>833.33333333333337</v>
      </c>
      <c r="CB13" s="296">
        <f t="shared" si="43"/>
        <v>833.33333333333337</v>
      </c>
      <c r="CC13" s="296">
        <f t="shared" si="43"/>
        <v>833.33333333333337</v>
      </c>
      <c r="CD13" s="296">
        <f t="shared" si="43"/>
        <v>833.33333333333337</v>
      </c>
      <c r="CE13" s="296">
        <f t="shared" si="43"/>
        <v>833.33333333333337</v>
      </c>
      <c r="CF13" s="296">
        <f t="shared" si="43"/>
        <v>833.33333333333337</v>
      </c>
      <c r="CG13" s="296">
        <f t="shared" si="43"/>
        <v>833.33333333333337</v>
      </c>
      <c r="CH13" s="296">
        <f t="shared" si="43"/>
        <v>833.33333333333337</v>
      </c>
      <c r="CI13" s="296">
        <f t="shared" si="43"/>
        <v>10000</v>
      </c>
      <c r="CJ13" s="296"/>
      <c r="CK13" s="296">
        <f t="shared" ref="CK13:CW22" si="44">SUMIF($F$6:$F$9,$F13,CK$6:CK$9)</f>
        <v>41.666666666666664</v>
      </c>
      <c r="CL13" s="296">
        <f t="shared" si="44"/>
        <v>41.666666666666664</v>
      </c>
      <c r="CM13" s="296">
        <f t="shared" si="44"/>
        <v>41.666666666666664</v>
      </c>
      <c r="CN13" s="296">
        <f t="shared" si="44"/>
        <v>41.666666666666664</v>
      </c>
      <c r="CO13" s="296">
        <f t="shared" si="44"/>
        <v>41.666666666666664</v>
      </c>
      <c r="CP13" s="296">
        <f t="shared" si="44"/>
        <v>41.666666666666664</v>
      </c>
      <c r="CQ13" s="296">
        <f t="shared" si="44"/>
        <v>41.666666666666664</v>
      </c>
      <c r="CR13" s="296">
        <f t="shared" si="44"/>
        <v>41.666666666666664</v>
      </c>
      <c r="CS13" s="296">
        <f t="shared" si="44"/>
        <v>41.666666666666664</v>
      </c>
      <c r="CT13" s="296">
        <f t="shared" si="44"/>
        <v>41.666666666666664</v>
      </c>
      <c r="CU13" s="296">
        <f t="shared" si="44"/>
        <v>41.666666666666664</v>
      </c>
      <c r="CV13" s="296">
        <f t="shared" si="44"/>
        <v>41.666666666666664</v>
      </c>
      <c r="CW13" s="296">
        <f t="shared" si="44"/>
        <v>500.00000000000006</v>
      </c>
      <c r="CX13" s="296"/>
      <c r="CY13" s="296">
        <f t="shared" ref="CY13:DK22" si="45">SUMIF($F$6:$F$9,$F13,CY$6:CY$9)</f>
        <v>2057</v>
      </c>
      <c r="CZ13" s="296">
        <f t="shared" si="45"/>
        <v>2057</v>
      </c>
      <c r="DA13" s="296">
        <f t="shared" si="45"/>
        <v>2057</v>
      </c>
      <c r="DB13" s="296">
        <f t="shared" si="45"/>
        <v>2057</v>
      </c>
      <c r="DC13" s="296">
        <f t="shared" si="45"/>
        <v>2057</v>
      </c>
      <c r="DD13" s="296">
        <f t="shared" si="45"/>
        <v>2057</v>
      </c>
      <c r="DE13" s="296">
        <f t="shared" si="45"/>
        <v>2057</v>
      </c>
      <c r="DF13" s="296">
        <f t="shared" si="45"/>
        <v>2057</v>
      </c>
      <c r="DG13" s="296">
        <f t="shared" si="45"/>
        <v>2057</v>
      </c>
      <c r="DH13" s="296">
        <f t="shared" si="45"/>
        <v>2057</v>
      </c>
      <c r="DI13" s="296">
        <f t="shared" si="45"/>
        <v>2057</v>
      </c>
      <c r="DJ13" s="296">
        <f t="shared" si="45"/>
        <v>2057</v>
      </c>
      <c r="DK13" s="296">
        <f t="shared" si="45"/>
        <v>24684</v>
      </c>
      <c r="DL13" s="296"/>
      <c r="DM13" s="296">
        <f t="shared" ref="DM13:DY22" si="46">SUMIF($F$6:$F$9,$F13,DM$6:DM$9)</f>
        <v>1500</v>
      </c>
      <c r="DN13" s="296">
        <f t="shared" si="46"/>
        <v>0</v>
      </c>
      <c r="DO13" s="296">
        <f t="shared" si="46"/>
        <v>0</v>
      </c>
      <c r="DP13" s="296">
        <f t="shared" si="46"/>
        <v>0</v>
      </c>
      <c r="DQ13" s="296">
        <f t="shared" si="46"/>
        <v>0</v>
      </c>
      <c r="DR13" s="296">
        <f t="shared" si="46"/>
        <v>0</v>
      </c>
      <c r="DS13" s="296">
        <f t="shared" si="46"/>
        <v>0</v>
      </c>
      <c r="DT13" s="296">
        <f t="shared" si="46"/>
        <v>0</v>
      </c>
      <c r="DU13" s="296">
        <f t="shared" si="46"/>
        <v>0</v>
      </c>
      <c r="DV13" s="296">
        <f t="shared" si="46"/>
        <v>0</v>
      </c>
      <c r="DW13" s="296">
        <f t="shared" si="46"/>
        <v>0</v>
      </c>
      <c r="DX13" s="296">
        <f t="shared" si="46"/>
        <v>0</v>
      </c>
      <c r="DY13" s="296">
        <f t="shared" si="46"/>
        <v>1500</v>
      </c>
      <c r="DZ13" s="296"/>
      <c r="EA13" s="296">
        <f t="shared" ref="EA13:EM22" si="47">SUMIF($F$6:$F$9,$F13,EA$6:EA$9)</f>
        <v>6292.3305785123966</v>
      </c>
      <c r="EB13" s="296">
        <f t="shared" si="47"/>
        <v>4792.3305785123966</v>
      </c>
      <c r="EC13" s="296">
        <f t="shared" si="47"/>
        <v>4792.3305785123966</v>
      </c>
      <c r="ED13" s="296">
        <f t="shared" si="47"/>
        <v>4792.3305785123966</v>
      </c>
      <c r="EE13" s="296">
        <f t="shared" si="47"/>
        <v>4792.3305785123966</v>
      </c>
      <c r="EF13" s="296">
        <f t="shared" si="47"/>
        <v>4792.3305785123966</v>
      </c>
      <c r="EG13" s="296">
        <f t="shared" si="47"/>
        <v>4792.3305785123966</v>
      </c>
      <c r="EH13" s="296">
        <f t="shared" si="47"/>
        <v>4792.3305785123966</v>
      </c>
      <c r="EI13" s="296">
        <f t="shared" si="47"/>
        <v>4792.3305785123966</v>
      </c>
      <c r="EJ13" s="296">
        <f t="shared" si="47"/>
        <v>4792.3305785123966</v>
      </c>
      <c r="EK13" s="296">
        <f t="shared" si="47"/>
        <v>4792.3305785123966</v>
      </c>
      <c r="EL13" s="296">
        <f t="shared" si="47"/>
        <v>4792.3305785123966</v>
      </c>
      <c r="EM13" s="296">
        <f t="shared" si="47"/>
        <v>59007.966942148756</v>
      </c>
      <c r="EN13" s="296"/>
    </row>
    <row r="14" spans="1:144" s="289" customFormat="1" ht="18.95" customHeight="1">
      <c r="B14" s="290"/>
      <c r="C14" s="291"/>
      <c r="D14" s="291"/>
      <c r="E14" s="291"/>
      <c r="F14" s="248">
        <v>1200</v>
      </c>
      <c r="G14" s="246" t="s">
        <v>75</v>
      </c>
      <c r="H14" s="293"/>
      <c r="I14" s="293"/>
      <c r="J14" s="291"/>
      <c r="K14" s="291"/>
      <c r="L14" s="294"/>
      <c r="M14" s="293"/>
      <c r="N14" s="295"/>
      <c r="O14" s="293"/>
      <c r="P14" s="293"/>
      <c r="Q14" s="293"/>
      <c r="R14" s="296"/>
      <c r="S14" s="296">
        <f t="shared" si="39"/>
        <v>0</v>
      </c>
      <c r="T14" s="296">
        <f t="shared" si="39"/>
        <v>0</v>
      </c>
      <c r="U14" s="296">
        <f t="shared" si="39"/>
        <v>0</v>
      </c>
      <c r="V14" s="296">
        <f t="shared" si="39"/>
        <v>0</v>
      </c>
      <c r="W14" s="296">
        <f t="shared" si="39"/>
        <v>0</v>
      </c>
      <c r="X14" s="296">
        <f t="shared" si="39"/>
        <v>0</v>
      </c>
      <c r="Y14" s="296">
        <f t="shared" si="39"/>
        <v>0</v>
      </c>
      <c r="Z14" s="296">
        <f t="shared" si="39"/>
        <v>0</v>
      </c>
      <c r="AA14" s="296">
        <f t="shared" si="39"/>
        <v>0</v>
      </c>
      <c r="AB14" s="296">
        <f t="shared" si="39"/>
        <v>0</v>
      </c>
      <c r="AC14" s="296">
        <f t="shared" si="39"/>
        <v>0</v>
      </c>
      <c r="AD14" s="296">
        <f t="shared" si="39"/>
        <v>0</v>
      </c>
      <c r="AE14" s="296">
        <f t="shared" si="39"/>
        <v>0</v>
      </c>
      <c r="AF14" s="296"/>
      <c r="AG14" s="296">
        <f t="shared" si="40"/>
        <v>0</v>
      </c>
      <c r="AH14" s="296">
        <f t="shared" si="40"/>
        <v>0</v>
      </c>
      <c r="AI14" s="296">
        <f t="shared" si="40"/>
        <v>0</v>
      </c>
      <c r="AJ14" s="296">
        <f t="shared" si="40"/>
        <v>0</v>
      </c>
      <c r="AK14" s="296">
        <f t="shared" si="40"/>
        <v>0</v>
      </c>
      <c r="AL14" s="296">
        <f t="shared" si="40"/>
        <v>0</v>
      </c>
      <c r="AM14" s="296">
        <f t="shared" si="40"/>
        <v>0</v>
      </c>
      <c r="AN14" s="296">
        <f t="shared" si="40"/>
        <v>0</v>
      </c>
      <c r="AO14" s="296">
        <f t="shared" si="40"/>
        <v>0</v>
      </c>
      <c r="AP14" s="296">
        <f t="shared" si="40"/>
        <v>0</v>
      </c>
      <c r="AQ14" s="296">
        <f t="shared" si="40"/>
        <v>0</v>
      </c>
      <c r="AR14" s="296">
        <f t="shared" si="40"/>
        <v>0</v>
      </c>
      <c r="AS14" s="296">
        <f t="shared" si="40"/>
        <v>0</v>
      </c>
      <c r="AT14" s="296"/>
      <c r="AU14" s="296">
        <f t="shared" si="41"/>
        <v>0</v>
      </c>
      <c r="AV14" s="296">
        <f t="shared" si="41"/>
        <v>0</v>
      </c>
      <c r="AW14" s="296">
        <f t="shared" si="41"/>
        <v>0</v>
      </c>
      <c r="AX14" s="296">
        <f t="shared" si="41"/>
        <v>0</v>
      </c>
      <c r="AY14" s="296">
        <f t="shared" si="41"/>
        <v>0</v>
      </c>
      <c r="AZ14" s="296">
        <f t="shared" si="41"/>
        <v>0</v>
      </c>
      <c r="BA14" s="296">
        <f t="shared" si="41"/>
        <v>0</v>
      </c>
      <c r="BB14" s="296">
        <f t="shared" si="41"/>
        <v>0</v>
      </c>
      <c r="BC14" s="296">
        <f t="shared" si="41"/>
        <v>0</v>
      </c>
      <c r="BD14" s="296">
        <f t="shared" si="41"/>
        <v>0</v>
      </c>
      <c r="BE14" s="296">
        <f t="shared" si="41"/>
        <v>0</v>
      </c>
      <c r="BF14" s="296">
        <f t="shared" si="41"/>
        <v>0</v>
      </c>
      <c r="BG14" s="296">
        <f t="shared" si="41"/>
        <v>0</v>
      </c>
      <c r="BH14" s="296"/>
      <c r="BI14" s="296">
        <f t="shared" si="42"/>
        <v>0</v>
      </c>
      <c r="BJ14" s="296">
        <f t="shared" si="42"/>
        <v>0</v>
      </c>
      <c r="BK14" s="296">
        <f t="shared" si="42"/>
        <v>0</v>
      </c>
      <c r="BL14" s="296">
        <f t="shared" si="42"/>
        <v>0</v>
      </c>
      <c r="BM14" s="296">
        <f t="shared" si="42"/>
        <v>0</v>
      </c>
      <c r="BN14" s="296">
        <f t="shared" si="42"/>
        <v>0</v>
      </c>
      <c r="BO14" s="296">
        <f t="shared" si="42"/>
        <v>0</v>
      </c>
      <c r="BP14" s="296">
        <f t="shared" si="42"/>
        <v>0</v>
      </c>
      <c r="BQ14" s="296">
        <f t="shared" si="42"/>
        <v>0</v>
      </c>
      <c r="BR14" s="296">
        <f t="shared" si="42"/>
        <v>0</v>
      </c>
      <c r="BS14" s="296">
        <f t="shared" si="42"/>
        <v>0</v>
      </c>
      <c r="BT14" s="296">
        <f t="shared" si="42"/>
        <v>0</v>
      </c>
      <c r="BU14" s="296">
        <f t="shared" si="42"/>
        <v>0</v>
      </c>
      <c r="BV14" s="296"/>
      <c r="BW14" s="296">
        <f t="shared" si="43"/>
        <v>0</v>
      </c>
      <c r="BX14" s="296">
        <f t="shared" si="43"/>
        <v>0</v>
      </c>
      <c r="BY14" s="296">
        <f t="shared" si="43"/>
        <v>0</v>
      </c>
      <c r="BZ14" s="296">
        <f t="shared" si="43"/>
        <v>0</v>
      </c>
      <c r="CA14" s="296">
        <f t="shared" si="43"/>
        <v>0</v>
      </c>
      <c r="CB14" s="296">
        <f t="shared" si="43"/>
        <v>0</v>
      </c>
      <c r="CC14" s="296">
        <f t="shared" si="43"/>
        <v>0</v>
      </c>
      <c r="CD14" s="296">
        <f t="shared" si="43"/>
        <v>0</v>
      </c>
      <c r="CE14" s="296">
        <f t="shared" si="43"/>
        <v>0</v>
      </c>
      <c r="CF14" s="296">
        <f t="shared" si="43"/>
        <v>0</v>
      </c>
      <c r="CG14" s="296">
        <f t="shared" si="43"/>
        <v>0</v>
      </c>
      <c r="CH14" s="296">
        <f t="shared" si="43"/>
        <v>0</v>
      </c>
      <c r="CI14" s="296">
        <f t="shared" si="43"/>
        <v>0</v>
      </c>
      <c r="CJ14" s="296"/>
      <c r="CK14" s="296">
        <f t="shared" si="44"/>
        <v>0</v>
      </c>
      <c r="CL14" s="296">
        <f t="shared" si="44"/>
        <v>0</v>
      </c>
      <c r="CM14" s="296">
        <f t="shared" si="44"/>
        <v>0</v>
      </c>
      <c r="CN14" s="296">
        <f t="shared" si="44"/>
        <v>0</v>
      </c>
      <c r="CO14" s="296">
        <f t="shared" si="44"/>
        <v>0</v>
      </c>
      <c r="CP14" s="296">
        <f t="shared" si="44"/>
        <v>0</v>
      </c>
      <c r="CQ14" s="296">
        <f t="shared" si="44"/>
        <v>0</v>
      </c>
      <c r="CR14" s="296">
        <f t="shared" si="44"/>
        <v>0</v>
      </c>
      <c r="CS14" s="296">
        <f t="shared" si="44"/>
        <v>0</v>
      </c>
      <c r="CT14" s="296">
        <f t="shared" si="44"/>
        <v>0</v>
      </c>
      <c r="CU14" s="296">
        <f t="shared" si="44"/>
        <v>0</v>
      </c>
      <c r="CV14" s="296">
        <f t="shared" si="44"/>
        <v>0</v>
      </c>
      <c r="CW14" s="296">
        <f t="shared" si="44"/>
        <v>0</v>
      </c>
      <c r="CX14" s="296"/>
      <c r="CY14" s="296">
        <f t="shared" si="45"/>
        <v>0</v>
      </c>
      <c r="CZ14" s="296">
        <f t="shared" si="45"/>
        <v>0</v>
      </c>
      <c r="DA14" s="296">
        <f t="shared" si="45"/>
        <v>0</v>
      </c>
      <c r="DB14" s="296">
        <f t="shared" si="45"/>
        <v>0</v>
      </c>
      <c r="DC14" s="296">
        <f t="shared" si="45"/>
        <v>0</v>
      </c>
      <c r="DD14" s="296">
        <f t="shared" si="45"/>
        <v>0</v>
      </c>
      <c r="DE14" s="296">
        <f t="shared" si="45"/>
        <v>0</v>
      </c>
      <c r="DF14" s="296">
        <f t="shared" si="45"/>
        <v>0</v>
      </c>
      <c r="DG14" s="296">
        <f t="shared" si="45"/>
        <v>0</v>
      </c>
      <c r="DH14" s="296">
        <f t="shared" si="45"/>
        <v>0</v>
      </c>
      <c r="DI14" s="296">
        <f t="shared" si="45"/>
        <v>0</v>
      </c>
      <c r="DJ14" s="296">
        <f t="shared" si="45"/>
        <v>0</v>
      </c>
      <c r="DK14" s="296">
        <f t="shared" si="45"/>
        <v>0</v>
      </c>
      <c r="DL14" s="296"/>
      <c r="DM14" s="296">
        <f t="shared" si="46"/>
        <v>0</v>
      </c>
      <c r="DN14" s="296">
        <f t="shared" si="46"/>
        <v>0</v>
      </c>
      <c r="DO14" s="296">
        <f t="shared" si="46"/>
        <v>0</v>
      </c>
      <c r="DP14" s="296">
        <f t="shared" si="46"/>
        <v>0</v>
      </c>
      <c r="DQ14" s="296">
        <f t="shared" si="46"/>
        <v>0</v>
      </c>
      <c r="DR14" s="296">
        <f t="shared" si="46"/>
        <v>0</v>
      </c>
      <c r="DS14" s="296">
        <f t="shared" si="46"/>
        <v>0</v>
      </c>
      <c r="DT14" s="296">
        <f t="shared" si="46"/>
        <v>0</v>
      </c>
      <c r="DU14" s="296">
        <f t="shared" si="46"/>
        <v>0</v>
      </c>
      <c r="DV14" s="296">
        <f t="shared" si="46"/>
        <v>0</v>
      </c>
      <c r="DW14" s="296">
        <f t="shared" si="46"/>
        <v>0</v>
      </c>
      <c r="DX14" s="296">
        <f t="shared" si="46"/>
        <v>0</v>
      </c>
      <c r="DY14" s="296">
        <f t="shared" si="46"/>
        <v>0</v>
      </c>
      <c r="DZ14" s="296"/>
      <c r="EA14" s="296">
        <f t="shared" si="47"/>
        <v>0</v>
      </c>
      <c r="EB14" s="296">
        <f t="shared" si="47"/>
        <v>0</v>
      </c>
      <c r="EC14" s="296">
        <f t="shared" si="47"/>
        <v>0</v>
      </c>
      <c r="ED14" s="296">
        <f t="shared" si="47"/>
        <v>0</v>
      </c>
      <c r="EE14" s="296">
        <f t="shared" si="47"/>
        <v>0</v>
      </c>
      <c r="EF14" s="296">
        <f t="shared" si="47"/>
        <v>0</v>
      </c>
      <c r="EG14" s="296">
        <f t="shared" si="47"/>
        <v>0</v>
      </c>
      <c r="EH14" s="296">
        <f t="shared" si="47"/>
        <v>0</v>
      </c>
      <c r="EI14" s="296">
        <f t="shared" si="47"/>
        <v>0</v>
      </c>
      <c r="EJ14" s="296">
        <f t="shared" si="47"/>
        <v>0</v>
      </c>
      <c r="EK14" s="296">
        <f t="shared" si="47"/>
        <v>0</v>
      </c>
      <c r="EL14" s="296">
        <f t="shared" si="47"/>
        <v>0</v>
      </c>
      <c r="EM14" s="296">
        <f t="shared" si="47"/>
        <v>0</v>
      </c>
      <c r="EN14" s="296"/>
    </row>
    <row r="15" spans="1:144" s="289" customFormat="1" ht="18.95" customHeight="1">
      <c r="B15" s="290"/>
      <c r="D15" s="291"/>
      <c r="E15" s="291"/>
      <c r="F15" s="248">
        <v>2200</v>
      </c>
      <c r="G15" s="246" t="s">
        <v>457</v>
      </c>
      <c r="H15" s="293"/>
      <c r="I15" s="293"/>
      <c r="J15" s="291"/>
      <c r="K15" s="291"/>
      <c r="L15" s="294"/>
      <c r="M15" s="293"/>
      <c r="N15" s="295"/>
      <c r="O15" s="293"/>
      <c r="P15" s="293"/>
      <c r="Q15" s="293"/>
      <c r="R15" s="296"/>
      <c r="S15" s="296">
        <f t="shared" si="39"/>
        <v>0</v>
      </c>
      <c r="T15" s="296">
        <f t="shared" si="39"/>
        <v>0</v>
      </c>
      <c r="U15" s="296">
        <f t="shared" si="39"/>
        <v>0</v>
      </c>
      <c r="V15" s="296">
        <f t="shared" si="39"/>
        <v>0</v>
      </c>
      <c r="W15" s="296">
        <f t="shared" si="39"/>
        <v>0</v>
      </c>
      <c r="X15" s="296">
        <f t="shared" si="39"/>
        <v>0</v>
      </c>
      <c r="Y15" s="296">
        <f t="shared" si="39"/>
        <v>0</v>
      </c>
      <c r="Z15" s="296">
        <f t="shared" si="39"/>
        <v>0</v>
      </c>
      <c r="AA15" s="296">
        <f t="shared" si="39"/>
        <v>0</v>
      </c>
      <c r="AB15" s="296">
        <f t="shared" si="39"/>
        <v>0</v>
      </c>
      <c r="AC15" s="296">
        <f t="shared" si="39"/>
        <v>0</v>
      </c>
      <c r="AD15" s="296">
        <f t="shared" si="39"/>
        <v>0</v>
      </c>
      <c r="AE15" s="296">
        <f t="shared" si="39"/>
        <v>0</v>
      </c>
      <c r="AF15" s="296"/>
      <c r="AG15" s="296">
        <f t="shared" si="40"/>
        <v>0</v>
      </c>
      <c r="AH15" s="296">
        <f t="shared" si="40"/>
        <v>0</v>
      </c>
      <c r="AI15" s="296">
        <f t="shared" si="40"/>
        <v>0</v>
      </c>
      <c r="AJ15" s="296">
        <f t="shared" si="40"/>
        <v>0</v>
      </c>
      <c r="AK15" s="296">
        <f t="shared" si="40"/>
        <v>0</v>
      </c>
      <c r="AL15" s="296">
        <f t="shared" si="40"/>
        <v>0</v>
      </c>
      <c r="AM15" s="296">
        <f t="shared" si="40"/>
        <v>0</v>
      </c>
      <c r="AN15" s="296">
        <f t="shared" si="40"/>
        <v>0</v>
      </c>
      <c r="AO15" s="296">
        <f t="shared" si="40"/>
        <v>0</v>
      </c>
      <c r="AP15" s="296">
        <f t="shared" si="40"/>
        <v>0</v>
      </c>
      <c r="AQ15" s="296">
        <f t="shared" si="40"/>
        <v>0</v>
      </c>
      <c r="AR15" s="296">
        <f t="shared" si="40"/>
        <v>0</v>
      </c>
      <c r="AS15" s="296">
        <f t="shared" si="40"/>
        <v>0</v>
      </c>
      <c r="AT15" s="296"/>
      <c r="AU15" s="296">
        <f t="shared" si="41"/>
        <v>0</v>
      </c>
      <c r="AV15" s="296">
        <f t="shared" si="41"/>
        <v>0</v>
      </c>
      <c r="AW15" s="296">
        <f t="shared" si="41"/>
        <v>0</v>
      </c>
      <c r="AX15" s="296">
        <f t="shared" si="41"/>
        <v>0</v>
      </c>
      <c r="AY15" s="296">
        <f t="shared" si="41"/>
        <v>0</v>
      </c>
      <c r="AZ15" s="296">
        <f t="shared" si="41"/>
        <v>0</v>
      </c>
      <c r="BA15" s="296">
        <f t="shared" si="41"/>
        <v>0</v>
      </c>
      <c r="BB15" s="296">
        <f t="shared" si="41"/>
        <v>0</v>
      </c>
      <c r="BC15" s="296">
        <f t="shared" si="41"/>
        <v>0</v>
      </c>
      <c r="BD15" s="296">
        <f t="shared" si="41"/>
        <v>0</v>
      </c>
      <c r="BE15" s="296">
        <f t="shared" si="41"/>
        <v>0</v>
      </c>
      <c r="BF15" s="296">
        <f t="shared" si="41"/>
        <v>0</v>
      </c>
      <c r="BG15" s="296">
        <f t="shared" si="41"/>
        <v>0</v>
      </c>
      <c r="BH15" s="296"/>
      <c r="BI15" s="296">
        <f t="shared" si="42"/>
        <v>0</v>
      </c>
      <c r="BJ15" s="296">
        <f t="shared" si="42"/>
        <v>0</v>
      </c>
      <c r="BK15" s="296">
        <f t="shared" si="42"/>
        <v>0</v>
      </c>
      <c r="BL15" s="296">
        <f t="shared" si="42"/>
        <v>0</v>
      </c>
      <c r="BM15" s="296">
        <f t="shared" si="42"/>
        <v>0</v>
      </c>
      <c r="BN15" s="296">
        <f t="shared" si="42"/>
        <v>0</v>
      </c>
      <c r="BO15" s="296">
        <f t="shared" si="42"/>
        <v>0</v>
      </c>
      <c r="BP15" s="296">
        <f t="shared" si="42"/>
        <v>0</v>
      </c>
      <c r="BQ15" s="296">
        <f t="shared" si="42"/>
        <v>0</v>
      </c>
      <c r="BR15" s="296">
        <f t="shared" si="42"/>
        <v>0</v>
      </c>
      <c r="BS15" s="296">
        <f t="shared" si="42"/>
        <v>0</v>
      </c>
      <c r="BT15" s="296">
        <f t="shared" si="42"/>
        <v>0</v>
      </c>
      <c r="BU15" s="296">
        <f t="shared" si="42"/>
        <v>0</v>
      </c>
      <c r="BV15" s="296"/>
      <c r="BW15" s="296">
        <f t="shared" si="43"/>
        <v>0</v>
      </c>
      <c r="BX15" s="296">
        <f t="shared" si="43"/>
        <v>0</v>
      </c>
      <c r="BY15" s="296">
        <f t="shared" si="43"/>
        <v>0</v>
      </c>
      <c r="BZ15" s="296">
        <f t="shared" si="43"/>
        <v>0</v>
      </c>
      <c r="CA15" s="296">
        <f t="shared" si="43"/>
        <v>0</v>
      </c>
      <c r="CB15" s="296">
        <f t="shared" si="43"/>
        <v>0</v>
      </c>
      <c r="CC15" s="296">
        <f t="shared" si="43"/>
        <v>0</v>
      </c>
      <c r="CD15" s="296">
        <f t="shared" si="43"/>
        <v>0</v>
      </c>
      <c r="CE15" s="296">
        <f t="shared" si="43"/>
        <v>0</v>
      </c>
      <c r="CF15" s="296">
        <f t="shared" si="43"/>
        <v>0</v>
      </c>
      <c r="CG15" s="296">
        <f t="shared" si="43"/>
        <v>0</v>
      </c>
      <c r="CH15" s="296">
        <f t="shared" si="43"/>
        <v>0</v>
      </c>
      <c r="CI15" s="296">
        <f t="shared" si="43"/>
        <v>0</v>
      </c>
      <c r="CJ15" s="296"/>
      <c r="CK15" s="296">
        <f t="shared" si="44"/>
        <v>0</v>
      </c>
      <c r="CL15" s="296">
        <f t="shared" si="44"/>
        <v>0</v>
      </c>
      <c r="CM15" s="296">
        <f t="shared" si="44"/>
        <v>0</v>
      </c>
      <c r="CN15" s="296">
        <f t="shared" si="44"/>
        <v>0</v>
      </c>
      <c r="CO15" s="296">
        <f t="shared" si="44"/>
        <v>0</v>
      </c>
      <c r="CP15" s="296">
        <f t="shared" si="44"/>
        <v>0</v>
      </c>
      <c r="CQ15" s="296">
        <f t="shared" si="44"/>
        <v>0</v>
      </c>
      <c r="CR15" s="296">
        <f t="shared" si="44"/>
        <v>0</v>
      </c>
      <c r="CS15" s="296">
        <f t="shared" si="44"/>
        <v>0</v>
      </c>
      <c r="CT15" s="296">
        <f t="shared" si="44"/>
        <v>0</v>
      </c>
      <c r="CU15" s="296">
        <f t="shared" si="44"/>
        <v>0</v>
      </c>
      <c r="CV15" s="296">
        <f t="shared" si="44"/>
        <v>0</v>
      </c>
      <c r="CW15" s="296">
        <f t="shared" si="44"/>
        <v>0</v>
      </c>
      <c r="CX15" s="296"/>
      <c r="CY15" s="296">
        <f t="shared" si="45"/>
        <v>0</v>
      </c>
      <c r="CZ15" s="296">
        <f t="shared" si="45"/>
        <v>0</v>
      </c>
      <c r="DA15" s="296">
        <f t="shared" si="45"/>
        <v>0</v>
      </c>
      <c r="DB15" s="296">
        <f t="shared" si="45"/>
        <v>0</v>
      </c>
      <c r="DC15" s="296">
        <f t="shared" si="45"/>
        <v>0</v>
      </c>
      <c r="DD15" s="296">
        <f t="shared" si="45"/>
        <v>0</v>
      </c>
      <c r="DE15" s="296">
        <f t="shared" si="45"/>
        <v>0</v>
      </c>
      <c r="DF15" s="296">
        <f t="shared" si="45"/>
        <v>0</v>
      </c>
      <c r="DG15" s="296">
        <f t="shared" si="45"/>
        <v>0</v>
      </c>
      <c r="DH15" s="296">
        <f t="shared" si="45"/>
        <v>0</v>
      </c>
      <c r="DI15" s="296">
        <f t="shared" si="45"/>
        <v>0</v>
      </c>
      <c r="DJ15" s="296">
        <f t="shared" si="45"/>
        <v>0</v>
      </c>
      <c r="DK15" s="296">
        <f t="shared" si="45"/>
        <v>0</v>
      </c>
      <c r="DL15" s="296"/>
      <c r="DM15" s="296">
        <f t="shared" si="46"/>
        <v>0</v>
      </c>
      <c r="DN15" s="296">
        <f t="shared" si="46"/>
        <v>0</v>
      </c>
      <c r="DO15" s="296">
        <f t="shared" si="46"/>
        <v>0</v>
      </c>
      <c r="DP15" s="296">
        <f t="shared" si="46"/>
        <v>0</v>
      </c>
      <c r="DQ15" s="296">
        <f t="shared" si="46"/>
        <v>0</v>
      </c>
      <c r="DR15" s="296">
        <f t="shared" si="46"/>
        <v>0</v>
      </c>
      <c r="DS15" s="296">
        <f t="shared" si="46"/>
        <v>0</v>
      </c>
      <c r="DT15" s="296">
        <f t="shared" si="46"/>
        <v>0</v>
      </c>
      <c r="DU15" s="296">
        <f t="shared" si="46"/>
        <v>0</v>
      </c>
      <c r="DV15" s="296">
        <f t="shared" si="46"/>
        <v>0</v>
      </c>
      <c r="DW15" s="296">
        <f t="shared" si="46"/>
        <v>0</v>
      </c>
      <c r="DX15" s="296">
        <f t="shared" si="46"/>
        <v>0</v>
      </c>
      <c r="DY15" s="296">
        <f t="shared" si="46"/>
        <v>0</v>
      </c>
      <c r="DZ15" s="296"/>
      <c r="EA15" s="296">
        <f t="shared" si="47"/>
        <v>0</v>
      </c>
      <c r="EB15" s="296">
        <f t="shared" si="47"/>
        <v>0</v>
      </c>
      <c r="EC15" s="296">
        <f t="shared" si="47"/>
        <v>0</v>
      </c>
      <c r="ED15" s="296">
        <f t="shared" si="47"/>
        <v>0</v>
      </c>
      <c r="EE15" s="296">
        <f t="shared" si="47"/>
        <v>0</v>
      </c>
      <c r="EF15" s="296">
        <f t="shared" si="47"/>
        <v>0</v>
      </c>
      <c r="EG15" s="296">
        <f t="shared" si="47"/>
        <v>0</v>
      </c>
      <c r="EH15" s="296">
        <f t="shared" si="47"/>
        <v>0</v>
      </c>
      <c r="EI15" s="296">
        <f t="shared" si="47"/>
        <v>0</v>
      </c>
      <c r="EJ15" s="296">
        <f t="shared" si="47"/>
        <v>0</v>
      </c>
      <c r="EK15" s="296">
        <f t="shared" si="47"/>
        <v>0</v>
      </c>
      <c r="EL15" s="296">
        <f t="shared" si="47"/>
        <v>0</v>
      </c>
      <c r="EM15" s="296">
        <f t="shared" si="47"/>
        <v>0</v>
      </c>
      <c r="EN15" s="296"/>
    </row>
    <row r="16" spans="1:144" s="289" customFormat="1" ht="18.95" customHeight="1">
      <c r="B16" s="290"/>
      <c r="C16" s="291"/>
      <c r="D16" s="291"/>
      <c r="E16" s="291"/>
      <c r="F16" s="248">
        <v>2300</v>
      </c>
      <c r="G16" s="246" t="s">
        <v>458</v>
      </c>
      <c r="H16" s="293"/>
      <c r="I16" s="293"/>
      <c r="J16" s="291"/>
      <c r="K16" s="291"/>
      <c r="L16" s="294"/>
      <c r="M16" s="293"/>
      <c r="N16" s="295"/>
      <c r="O16" s="293"/>
      <c r="P16" s="293"/>
      <c r="Q16" s="293"/>
      <c r="R16" s="296"/>
      <c r="S16" s="296">
        <f t="shared" si="39"/>
        <v>0</v>
      </c>
      <c r="T16" s="296">
        <f t="shared" si="39"/>
        <v>0</v>
      </c>
      <c r="U16" s="296">
        <f t="shared" si="39"/>
        <v>0</v>
      </c>
      <c r="V16" s="296">
        <f t="shared" si="39"/>
        <v>0</v>
      </c>
      <c r="W16" s="296">
        <f t="shared" si="39"/>
        <v>0</v>
      </c>
      <c r="X16" s="296">
        <f t="shared" si="39"/>
        <v>0</v>
      </c>
      <c r="Y16" s="296">
        <f t="shared" si="39"/>
        <v>0</v>
      </c>
      <c r="Z16" s="296">
        <f t="shared" si="39"/>
        <v>0</v>
      </c>
      <c r="AA16" s="296">
        <f t="shared" si="39"/>
        <v>0</v>
      </c>
      <c r="AB16" s="296">
        <f t="shared" si="39"/>
        <v>0</v>
      </c>
      <c r="AC16" s="296">
        <f t="shared" si="39"/>
        <v>0</v>
      </c>
      <c r="AD16" s="296">
        <f t="shared" si="39"/>
        <v>0</v>
      </c>
      <c r="AE16" s="296">
        <f t="shared" si="39"/>
        <v>0</v>
      </c>
      <c r="AF16" s="296"/>
      <c r="AG16" s="296">
        <f t="shared" si="40"/>
        <v>0</v>
      </c>
      <c r="AH16" s="296">
        <f t="shared" si="40"/>
        <v>0</v>
      </c>
      <c r="AI16" s="296">
        <f t="shared" si="40"/>
        <v>0</v>
      </c>
      <c r="AJ16" s="296">
        <f t="shared" si="40"/>
        <v>0</v>
      </c>
      <c r="AK16" s="296">
        <f t="shared" si="40"/>
        <v>0</v>
      </c>
      <c r="AL16" s="296">
        <f t="shared" si="40"/>
        <v>0</v>
      </c>
      <c r="AM16" s="296">
        <f t="shared" si="40"/>
        <v>0</v>
      </c>
      <c r="AN16" s="296">
        <f t="shared" si="40"/>
        <v>0</v>
      </c>
      <c r="AO16" s="296">
        <f t="shared" si="40"/>
        <v>0</v>
      </c>
      <c r="AP16" s="296">
        <f t="shared" si="40"/>
        <v>0</v>
      </c>
      <c r="AQ16" s="296">
        <f t="shared" si="40"/>
        <v>0</v>
      </c>
      <c r="AR16" s="296">
        <f t="shared" si="40"/>
        <v>0</v>
      </c>
      <c r="AS16" s="296">
        <f t="shared" si="40"/>
        <v>0</v>
      </c>
      <c r="AT16" s="296"/>
      <c r="AU16" s="296">
        <f t="shared" si="41"/>
        <v>0</v>
      </c>
      <c r="AV16" s="296">
        <f t="shared" si="41"/>
        <v>0</v>
      </c>
      <c r="AW16" s="296">
        <f t="shared" si="41"/>
        <v>0</v>
      </c>
      <c r="AX16" s="296">
        <f t="shared" si="41"/>
        <v>0</v>
      </c>
      <c r="AY16" s="296">
        <f t="shared" si="41"/>
        <v>0</v>
      </c>
      <c r="AZ16" s="296">
        <f t="shared" si="41"/>
        <v>0</v>
      </c>
      <c r="BA16" s="296">
        <f t="shared" si="41"/>
        <v>0</v>
      </c>
      <c r="BB16" s="296">
        <f t="shared" si="41"/>
        <v>0</v>
      </c>
      <c r="BC16" s="296">
        <f t="shared" si="41"/>
        <v>0</v>
      </c>
      <c r="BD16" s="296">
        <f t="shared" si="41"/>
        <v>0</v>
      </c>
      <c r="BE16" s="296">
        <f t="shared" si="41"/>
        <v>0</v>
      </c>
      <c r="BF16" s="296">
        <f t="shared" si="41"/>
        <v>0</v>
      </c>
      <c r="BG16" s="296">
        <f t="shared" si="41"/>
        <v>0</v>
      </c>
      <c r="BH16" s="296"/>
      <c r="BI16" s="296">
        <f t="shared" si="42"/>
        <v>0</v>
      </c>
      <c r="BJ16" s="296">
        <f t="shared" si="42"/>
        <v>0</v>
      </c>
      <c r="BK16" s="296">
        <f t="shared" si="42"/>
        <v>0</v>
      </c>
      <c r="BL16" s="296">
        <f t="shared" si="42"/>
        <v>0</v>
      </c>
      <c r="BM16" s="296">
        <f t="shared" si="42"/>
        <v>0</v>
      </c>
      <c r="BN16" s="296">
        <f t="shared" si="42"/>
        <v>0</v>
      </c>
      <c r="BO16" s="296">
        <f t="shared" si="42"/>
        <v>0</v>
      </c>
      <c r="BP16" s="296">
        <f t="shared" si="42"/>
        <v>0</v>
      </c>
      <c r="BQ16" s="296">
        <f t="shared" si="42"/>
        <v>0</v>
      </c>
      <c r="BR16" s="296">
        <f t="shared" si="42"/>
        <v>0</v>
      </c>
      <c r="BS16" s="296">
        <f t="shared" si="42"/>
        <v>0</v>
      </c>
      <c r="BT16" s="296">
        <f t="shared" si="42"/>
        <v>0</v>
      </c>
      <c r="BU16" s="296">
        <f t="shared" si="42"/>
        <v>0</v>
      </c>
      <c r="BV16" s="296"/>
      <c r="BW16" s="296">
        <f t="shared" si="43"/>
        <v>0</v>
      </c>
      <c r="BX16" s="296">
        <f t="shared" si="43"/>
        <v>0</v>
      </c>
      <c r="BY16" s="296">
        <f t="shared" si="43"/>
        <v>0</v>
      </c>
      <c r="BZ16" s="296">
        <f t="shared" si="43"/>
        <v>0</v>
      </c>
      <c r="CA16" s="296">
        <f t="shared" si="43"/>
        <v>0</v>
      </c>
      <c r="CB16" s="296">
        <f t="shared" si="43"/>
        <v>0</v>
      </c>
      <c r="CC16" s="296">
        <f t="shared" si="43"/>
        <v>0</v>
      </c>
      <c r="CD16" s="296">
        <f t="shared" si="43"/>
        <v>0</v>
      </c>
      <c r="CE16" s="296">
        <f t="shared" si="43"/>
        <v>0</v>
      </c>
      <c r="CF16" s="296">
        <f t="shared" si="43"/>
        <v>0</v>
      </c>
      <c r="CG16" s="296">
        <f t="shared" si="43"/>
        <v>0</v>
      </c>
      <c r="CH16" s="296">
        <f t="shared" si="43"/>
        <v>0</v>
      </c>
      <c r="CI16" s="296">
        <f t="shared" si="43"/>
        <v>0</v>
      </c>
      <c r="CJ16" s="296"/>
      <c r="CK16" s="296">
        <f t="shared" si="44"/>
        <v>0</v>
      </c>
      <c r="CL16" s="296">
        <f t="shared" si="44"/>
        <v>0</v>
      </c>
      <c r="CM16" s="296">
        <f t="shared" si="44"/>
        <v>0</v>
      </c>
      <c r="CN16" s="296">
        <f t="shared" si="44"/>
        <v>0</v>
      </c>
      <c r="CO16" s="296">
        <f t="shared" si="44"/>
        <v>0</v>
      </c>
      <c r="CP16" s="296">
        <f t="shared" si="44"/>
        <v>0</v>
      </c>
      <c r="CQ16" s="296">
        <f t="shared" si="44"/>
        <v>0</v>
      </c>
      <c r="CR16" s="296">
        <f t="shared" si="44"/>
        <v>0</v>
      </c>
      <c r="CS16" s="296">
        <f t="shared" si="44"/>
        <v>0</v>
      </c>
      <c r="CT16" s="296">
        <f t="shared" si="44"/>
        <v>0</v>
      </c>
      <c r="CU16" s="296">
        <f t="shared" si="44"/>
        <v>0</v>
      </c>
      <c r="CV16" s="296">
        <f t="shared" si="44"/>
        <v>0</v>
      </c>
      <c r="CW16" s="296">
        <f t="shared" si="44"/>
        <v>0</v>
      </c>
      <c r="CX16" s="296"/>
      <c r="CY16" s="296">
        <f t="shared" si="45"/>
        <v>0</v>
      </c>
      <c r="CZ16" s="296">
        <f t="shared" si="45"/>
        <v>0</v>
      </c>
      <c r="DA16" s="296">
        <f t="shared" si="45"/>
        <v>0</v>
      </c>
      <c r="DB16" s="296">
        <f t="shared" si="45"/>
        <v>0</v>
      </c>
      <c r="DC16" s="296">
        <f t="shared" si="45"/>
        <v>0</v>
      </c>
      <c r="DD16" s="296">
        <f t="shared" si="45"/>
        <v>0</v>
      </c>
      <c r="DE16" s="296">
        <f t="shared" si="45"/>
        <v>0</v>
      </c>
      <c r="DF16" s="296">
        <f t="shared" si="45"/>
        <v>0</v>
      </c>
      <c r="DG16" s="296">
        <f t="shared" si="45"/>
        <v>0</v>
      </c>
      <c r="DH16" s="296">
        <f t="shared" si="45"/>
        <v>0</v>
      </c>
      <c r="DI16" s="296">
        <f t="shared" si="45"/>
        <v>0</v>
      </c>
      <c r="DJ16" s="296">
        <f t="shared" si="45"/>
        <v>0</v>
      </c>
      <c r="DK16" s="296">
        <f t="shared" si="45"/>
        <v>0</v>
      </c>
      <c r="DL16" s="296"/>
      <c r="DM16" s="296">
        <f t="shared" si="46"/>
        <v>0</v>
      </c>
      <c r="DN16" s="296">
        <f t="shared" si="46"/>
        <v>0</v>
      </c>
      <c r="DO16" s="296">
        <f t="shared" si="46"/>
        <v>0</v>
      </c>
      <c r="DP16" s="296">
        <f t="shared" si="46"/>
        <v>0</v>
      </c>
      <c r="DQ16" s="296">
        <f t="shared" si="46"/>
        <v>0</v>
      </c>
      <c r="DR16" s="296">
        <f t="shared" si="46"/>
        <v>0</v>
      </c>
      <c r="DS16" s="296">
        <f t="shared" si="46"/>
        <v>0</v>
      </c>
      <c r="DT16" s="296">
        <f t="shared" si="46"/>
        <v>0</v>
      </c>
      <c r="DU16" s="296">
        <f t="shared" si="46"/>
        <v>0</v>
      </c>
      <c r="DV16" s="296">
        <f t="shared" si="46"/>
        <v>0</v>
      </c>
      <c r="DW16" s="296">
        <f t="shared" si="46"/>
        <v>0</v>
      </c>
      <c r="DX16" s="296">
        <f t="shared" si="46"/>
        <v>0</v>
      </c>
      <c r="DY16" s="296">
        <f t="shared" si="46"/>
        <v>0</v>
      </c>
      <c r="DZ16" s="296"/>
      <c r="EA16" s="296">
        <f t="shared" si="47"/>
        <v>0</v>
      </c>
      <c r="EB16" s="296">
        <f t="shared" si="47"/>
        <v>0</v>
      </c>
      <c r="EC16" s="296">
        <f t="shared" si="47"/>
        <v>0</v>
      </c>
      <c r="ED16" s="296">
        <f t="shared" si="47"/>
        <v>0</v>
      </c>
      <c r="EE16" s="296">
        <f t="shared" si="47"/>
        <v>0</v>
      </c>
      <c r="EF16" s="296">
        <f t="shared" si="47"/>
        <v>0</v>
      </c>
      <c r="EG16" s="296">
        <f t="shared" si="47"/>
        <v>0</v>
      </c>
      <c r="EH16" s="296">
        <f t="shared" si="47"/>
        <v>0</v>
      </c>
      <c r="EI16" s="296">
        <f t="shared" si="47"/>
        <v>0</v>
      </c>
      <c r="EJ16" s="296">
        <f t="shared" si="47"/>
        <v>0</v>
      </c>
      <c r="EK16" s="296">
        <f t="shared" si="47"/>
        <v>0</v>
      </c>
      <c r="EL16" s="296">
        <f t="shared" si="47"/>
        <v>0</v>
      </c>
      <c r="EM16" s="296">
        <f t="shared" si="47"/>
        <v>0</v>
      </c>
      <c r="EN16" s="296"/>
    </row>
    <row r="17" spans="2:144" s="289" customFormat="1" ht="18.95" customHeight="1">
      <c r="B17" s="290"/>
      <c r="C17" s="291"/>
      <c r="D17" s="291"/>
      <c r="E17" s="291"/>
      <c r="F17" s="248">
        <v>3100</v>
      </c>
      <c r="G17" s="246" t="s">
        <v>63</v>
      </c>
      <c r="H17" s="293"/>
      <c r="I17" s="293"/>
      <c r="J17" s="291"/>
      <c r="K17" s="291"/>
      <c r="L17" s="294"/>
      <c r="M17" s="293"/>
      <c r="N17" s="295"/>
      <c r="O17" s="293"/>
      <c r="P17" s="293"/>
      <c r="Q17" s="293"/>
      <c r="R17" s="296"/>
      <c r="S17" s="296">
        <f t="shared" si="39"/>
        <v>0</v>
      </c>
      <c r="T17" s="296">
        <f t="shared" si="39"/>
        <v>0</v>
      </c>
      <c r="U17" s="296">
        <f t="shared" si="39"/>
        <v>0</v>
      </c>
      <c r="V17" s="296">
        <f t="shared" si="39"/>
        <v>0</v>
      </c>
      <c r="W17" s="296">
        <f t="shared" si="39"/>
        <v>0</v>
      </c>
      <c r="X17" s="296">
        <f t="shared" si="39"/>
        <v>0</v>
      </c>
      <c r="Y17" s="296">
        <f t="shared" si="39"/>
        <v>0</v>
      </c>
      <c r="Z17" s="296">
        <f t="shared" si="39"/>
        <v>0</v>
      </c>
      <c r="AA17" s="296">
        <f t="shared" si="39"/>
        <v>0</v>
      </c>
      <c r="AB17" s="296">
        <f t="shared" si="39"/>
        <v>0</v>
      </c>
      <c r="AC17" s="296">
        <f t="shared" si="39"/>
        <v>0</v>
      </c>
      <c r="AD17" s="296">
        <f t="shared" si="39"/>
        <v>0</v>
      </c>
      <c r="AE17" s="296">
        <f t="shared" si="39"/>
        <v>0</v>
      </c>
      <c r="AF17" s="296"/>
      <c r="AG17" s="296">
        <f t="shared" si="40"/>
        <v>0</v>
      </c>
      <c r="AH17" s="296">
        <f t="shared" si="40"/>
        <v>0</v>
      </c>
      <c r="AI17" s="296">
        <f t="shared" si="40"/>
        <v>0</v>
      </c>
      <c r="AJ17" s="296">
        <f t="shared" si="40"/>
        <v>0</v>
      </c>
      <c r="AK17" s="296">
        <f t="shared" si="40"/>
        <v>0</v>
      </c>
      <c r="AL17" s="296">
        <f t="shared" si="40"/>
        <v>0</v>
      </c>
      <c r="AM17" s="296">
        <f t="shared" si="40"/>
        <v>0</v>
      </c>
      <c r="AN17" s="296">
        <f t="shared" si="40"/>
        <v>0</v>
      </c>
      <c r="AO17" s="296">
        <f t="shared" si="40"/>
        <v>0</v>
      </c>
      <c r="AP17" s="296">
        <f t="shared" si="40"/>
        <v>0</v>
      </c>
      <c r="AQ17" s="296">
        <f t="shared" si="40"/>
        <v>0</v>
      </c>
      <c r="AR17" s="296">
        <f t="shared" si="40"/>
        <v>0</v>
      </c>
      <c r="AS17" s="296">
        <f t="shared" si="40"/>
        <v>0</v>
      </c>
      <c r="AT17" s="296"/>
      <c r="AU17" s="296">
        <f t="shared" si="41"/>
        <v>0</v>
      </c>
      <c r="AV17" s="296">
        <f t="shared" si="41"/>
        <v>0</v>
      </c>
      <c r="AW17" s="296">
        <f t="shared" si="41"/>
        <v>0</v>
      </c>
      <c r="AX17" s="296">
        <f t="shared" si="41"/>
        <v>0</v>
      </c>
      <c r="AY17" s="296">
        <f t="shared" si="41"/>
        <v>0</v>
      </c>
      <c r="AZ17" s="296">
        <f t="shared" si="41"/>
        <v>0</v>
      </c>
      <c r="BA17" s="296">
        <f t="shared" si="41"/>
        <v>0</v>
      </c>
      <c r="BB17" s="296">
        <f t="shared" si="41"/>
        <v>0</v>
      </c>
      <c r="BC17" s="296">
        <f t="shared" si="41"/>
        <v>0</v>
      </c>
      <c r="BD17" s="296">
        <f t="shared" si="41"/>
        <v>0</v>
      </c>
      <c r="BE17" s="296">
        <f t="shared" si="41"/>
        <v>0</v>
      </c>
      <c r="BF17" s="296">
        <f t="shared" si="41"/>
        <v>0</v>
      </c>
      <c r="BG17" s="296">
        <f t="shared" si="41"/>
        <v>0</v>
      </c>
      <c r="BH17" s="296"/>
      <c r="BI17" s="296">
        <f t="shared" si="42"/>
        <v>0</v>
      </c>
      <c r="BJ17" s="296">
        <f t="shared" si="42"/>
        <v>0</v>
      </c>
      <c r="BK17" s="296">
        <f t="shared" si="42"/>
        <v>0</v>
      </c>
      <c r="BL17" s="296">
        <f t="shared" si="42"/>
        <v>0</v>
      </c>
      <c r="BM17" s="296">
        <f t="shared" si="42"/>
        <v>0</v>
      </c>
      <c r="BN17" s="296">
        <f t="shared" si="42"/>
        <v>0</v>
      </c>
      <c r="BO17" s="296">
        <f t="shared" si="42"/>
        <v>0</v>
      </c>
      <c r="BP17" s="296">
        <f t="shared" si="42"/>
        <v>0</v>
      </c>
      <c r="BQ17" s="296">
        <f t="shared" si="42"/>
        <v>0</v>
      </c>
      <c r="BR17" s="296">
        <f t="shared" si="42"/>
        <v>0</v>
      </c>
      <c r="BS17" s="296">
        <f t="shared" si="42"/>
        <v>0</v>
      </c>
      <c r="BT17" s="296">
        <f t="shared" si="42"/>
        <v>0</v>
      </c>
      <c r="BU17" s="296">
        <f t="shared" si="42"/>
        <v>0</v>
      </c>
      <c r="BV17" s="296"/>
      <c r="BW17" s="296">
        <f t="shared" si="43"/>
        <v>0</v>
      </c>
      <c r="BX17" s="296">
        <f t="shared" si="43"/>
        <v>0</v>
      </c>
      <c r="BY17" s="296">
        <f t="shared" si="43"/>
        <v>0</v>
      </c>
      <c r="BZ17" s="296">
        <f t="shared" si="43"/>
        <v>0</v>
      </c>
      <c r="CA17" s="296">
        <f t="shared" si="43"/>
        <v>0</v>
      </c>
      <c r="CB17" s="296">
        <f t="shared" si="43"/>
        <v>0</v>
      </c>
      <c r="CC17" s="296">
        <f t="shared" si="43"/>
        <v>0</v>
      </c>
      <c r="CD17" s="296">
        <f t="shared" si="43"/>
        <v>0</v>
      </c>
      <c r="CE17" s="296">
        <f t="shared" si="43"/>
        <v>0</v>
      </c>
      <c r="CF17" s="296">
        <f t="shared" si="43"/>
        <v>0</v>
      </c>
      <c r="CG17" s="296">
        <f t="shared" si="43"/>
        <v>0</v>
      </c>
      <c r="CH17" s="296">
        <f t="shared" si="43"/>
        <v>0</v>
      </c>
      <c r="CI17" s="296">
        <f t="shared" si="43"/>
        <v>0</v>
      </c>
      <c r="CJ17" s="296"/>
      <c r="CK17" s="296">
        <f t="shared" si="44"/>
        <v>0</v>
      </c>
      <c r="CL17" s="296">
        <f t="shared" si="44"/>
        <v>0</v>
      </c>
      <c r="CM17" s="296">
        <f t="shared" si="44"/>
        <v>0</v>
      </c>
      <c r="CN17" s="296">
        <f t="shared" si="44"/>
        <v>0</v>
      </c>
      <c r="CO17" s="296">
        <f t="shared" si="44"/>
        <v>0</v>
      </c>
      <c r="CP17" s="296">
        <f t="shared" si="44"/>
        <v>0</v>
      </c>
      <c r="CQ17" s="296">
        <f t="shared" si="44"/>
        <v>0</v>
      </c>
      <c r="CR17" s="296">
        <f t="shared" si="44"/>
        <v>0</v>
      </c>
      <c r="CS17" s="296">
        <f t="shared" si="44"/>
        <v>0</v>
      </c>
      <c r="CT17" s="296">
        <f t="shared" si="44"/>
        <v>0</v>
      </c>
      <c r="CU17" s="296">
        <f t="shared" si="44"/>
        <v>0</v>
      </c>
      <c r="CV17" s="296">
        <f t="shared" si="44"/>
        <v>0</v>
      </c>
      <c r="CW17" s="296">
        <f t="shared" si="44"/>
        <v>0</v>
      </c>
      <c r="CX17" s="296"/>
      <c r="CY17" s="296">
        <f t="shared" si="45"/>
        <v>0</v>
      </c>
      <c r="CZ17" s="296">
        <f t="shared" si="45"/>
        <v>0</v>
      </c>
      <c r="DA17" s="296">
        <f t="shared" si="45"/>
        <v>0</v>
      </c>
      <c r="DB17" s="296">
        <f t="shared" si="45"/>
        <v>0</v>
      </c>
      <c r="DC17" s="296">
        <f t="shared" si="45"/>
        <v>0</v>
      </c>
      <c r="DD17" s="296">
        <f t="shared" si="45"/>
        <v>0</v>
      </c>
      <c r="DE17" s="296">
        <f t="shared" si="45"/>
        <v>0</v>
      </c>
      <c r="DF17" s="296">
        <f t="shared" si="45"/>
        <v>0</v>
      </c>
      <c r="DG17" s="296">
        <f t="shared" si="45"/>
        <v>0</v>
      </c>
      <c r="DH17" s="296">
        <f t="shared" si="45"/>
        <v>0</v>
      </c>
      <c r="DI17" s="296">
        <f t="shared" si="45"/>
        <v>0</v>
      </c>
      <c r="DJ17" s="296">
        <f t="shared" si="45"/>
        <v>0</v>
      </c>
      <c r="DK17" s="296">
        <f t="shared" si="45"/>
        <v>0</v>
      </c>
      <c r="DL17" s="296"/>
      <c r="DM17" s="296">
        <f t="shared" si="46"/>
        <v>0</v>
      </c>
      <c r="DN17" s="296">
        <f t="shared" si="46"/>
        <v>0</v>
      </c>
      <c r="DO17" s="296">
        <f t="shared" si="46"/>
        <v>0</v>
      </c>
      <c r="DP17" s="296">
        <f t="shared" si="46"/>
        <v>0</v>
      </c>
      <c r="DQ17" s="296">
        <f t="shared" si="46"/>
        <v>0</v>
      </c>
      <c r="DR17" s="296">
        <f t="shared" si="46"/>
        <v>0</v>
      </c>
      <c r="DS17" s="296">
        <f t="shared" si="46"/>
        <v>0</v>
      </c>
      <c r="DT17" s="296">
        <f t="shared" si="46"/>
        <v>0</v>
      </c>
      <c r="DU17" s="296">
        <f t="shared" si="46"/>
        <v>0</v>
      </c>
      <c r="DV17" s="296">
        <f t="shared" si="46"/>
        <v>0</v>
      </c>
      <c r="DW17" s="296">
        <f t="shared" si="46"/>
        <v>0</v>
      </c>
      <c r="DX17" s="296">
        <f t="shared" si="46"/>
        <v>0</v>
      </c>
      <c r="DY17" s="296">
        <f t="shared" si="46"/>
        <v>0</v>
      </c>
      <c r="DZ17" s="296"/>
      <c r="EA17" s="296">
        <f t="shared" si="47"/>
        <v>0</v>
      </c>
      <c r="EB17" s="296">
        <f t="shared" si="47"/>
        <v>0</v>
      </c>
      <c r="EC17" s="296">
        <f t="shared" si="47"/>
        <v>0</v>
      </c>
      <c r="ED17" s="296">
        <f t="shared" si="47"/>
        <v>0</v>
      </c>
      <c r="EE17" s="296">
        <f t="shared" si="47"/>
        <v>0</v>
      </c>
      <c r="EF17" s="296">
        <f t="shared" si="47"/>
        <v>0</v>
      </c>
      <c r="EG17" s="296">
        <f t="shared" si="47"/>
        <v>0</v>
      </c>
      <c r="EH17" s="296">
        <f t="shared" si="47"/>
        <v>0</v>
      </c>
      <c r="EI17" s="296">
        <f t="shared" si="47"/>
        <v>0</v>
      </c>
      <c r="EJ17" s="296">
        <f t="shared" si="47"/>
        <v>0</v>
      </c>
      <c r="EK17" s="296">
        <f t="shared" si="47"/>
        <v>0</v>
      </c>
      <c r="EL17" s="296">
        <f t="shared" si="47"/>
        <v>0</v>
      </c>
      <c r="EM17" s="296">
        <f t="shared" si="47"/>
        <v>0</v>
      </c>
      <c r="EN17" s="296"/>
    </row>
    <row r="18" spans="2:144" s="289" customFormat="1" ht="18.95" customHeight="1">
      <c r="B18" s="290"/>
      <c r="C18" s="291"/>
      <c r="D18" s="291"/>
      <c r="E18" s="291"/>
      <c r="F18" s="248">
        <v>4100</v>
      </c>
      <c r="G18" s="246" t="s">
        <v>54</v>
      </c>
      <c r="H18" s="293"/>
      <c r="I18" s="293"/>
      <c r="J18" s="291"/>
      <c r="K18" s="291"/>
      <c r="L18" s="294"/>
      <c r="M18" s="293"/>
      <c r="N18" s="295"/>
      <c r="O18" s="293"/>
      <c r="P18" s="293"/>
      <c r="Q18" s="293"/>
      <c r="R18" s="296"/>
      <c r="S18" s="296">
        <f t="shared" si="39"/>
        <v>0</v>
      </c>
      <c r="T18" s="296">
        <f t="shared" si="39"/>
        <v>0</v>
      </c>
      <c r="U18" s="296">
        <f t="shared" si="39"/>
        <v>0</v>
      </c>
      <c r="V18" s="296">
        <f t="shared" si="39"/>
        <v>0</v>
      </c>
      <c r="W18" s="296">
        <f t="shared" si="39"/>
        <v>0</v>
      </c>
      <c r="X18" s="296">
        <f t="shared" si="39"/>
        <v>0</v>
      </c>
      <c r="Y18" s="296">
        <f t="shared" si="39"/>
        <v>0</v>
      </c>
      <c r="Z18" s="296">
        <f t="shared" si="39"/>
        <v>0</v>
      </c>
      <c r="AA18" s="296">
        <f t="shared" si="39"/>
        <v>0</v>
      </c>
      <c r="AB18" s="296">
        <f t="shared" si="39"/>
        <v>0</v>
      </c>
      <c r="AC18" s="296">
        <f t="shared" si="39"/>
        <v>0</v>
      </c>
      <c r="AD18" s="296">
        <f t="shared" si="39"/>
        <v>0</v>
      </c>
      <c r="AE18" s="296">
        <f t="shared" si="39"/>
        <v>0</v>
      </c>
      <c r="AF18" s="296"/>
      <c r="AG18" s="296">
        <f t="shared" si="40"/>
        <v>0</v>
      </c>
      <c r="AH18" s="296">
        <f t="shared" si="40"/>
        <v>0</v>
      </c>
      <c r="AI18" s="296">
        <f t="shared" si="40"/>
        <v>0</v>
      </c>
      <c r="AJ18" s="296">
        <f t="shared" si="40"/>
        <v>0</v>
      </c>
      <c r="AK18" s="296">
        <f t="shared" si="40"/>
        <v>0</v>
      </c>
      <c r="AL18" s="296">
        <f t="shared" si="40"/>
        <v>0</v>
      </c>
      <c r="AM18" s="296">
        <f t="shared" si="40"/>
        <v>0</v>
      </c>
      <c r="AN18" s="296">
        <f t="shared" si="40"/>
        <v>0</v>
      </c>
      <c r="AO18" s="296">
        <f t="shared" si="40"/>
        <v>0</v>
      </c>
      <c r="AP18" s="296">
        <f t="shared" si="40"/>
        <v>0</v>
      </c>
      <c r="AQ18" s="296">
        <f t="shared" si="40"/>
        <v>0</v>
      </c>
      <c r="AR18" s="296">
        <f t="shared" si="40"/>
        <v>0</v>
      </c>
      <c r="AS18" s="296">
        <f t="shared" si="40"/>
        <v>0</v>
      </c>
      <c r="AT18" s="296"/>
      <c r="AU18" s="296">
        <f t="shared" si="41"/>
        <v>2974.3801652892562</v>
      </c>
      <c r="AV18" s="296">
        <f t="shared" si="41"/>
        <v>2974.3801652892562</v>
      </c>
      <c r="AW18" s="296">
        <f t="shared" si="41"/>
        <v>2974.3801652892562</v>
      </c>
      <c r="AX18" s="296">
        <f t="shared" si="41"/>
        <v>2974.3801652892562</v>
      </c>
      <c r="AY18" s="296">
        <f t="shared" si="41"/>
        <v>2974.3801652892562</v>
      </c>
      <c r="AZ18" s="296">
        <f t="shared" si="41"/>
        <v>2974.3801652892562</v>
      </c>
      <c r="BA18" s="296">
        <f t="shared" si="41"/>
        <v>2974.3801652892562</v>
      </c>
      <c r="BB18" s="296">
        <f t="shared" si="41"/>
        <v>2974.3801652892562</v>
      </c>
      <c r="BC18" s="296">
        <f t="shared" si="41"/>
        <v>2974.3801652892562</v>
      </c>
      <c r="BD18" s="296">
        <f t="shared" si="41"/>
        <v>2974.3801652892562</v>
      </c>
      <c r="BE18" s="296">
        <f t="shared" si="41"/>
        <v>2974.3801652892562</v>
      </c>
      <c r="BF18" s="296">
        <f t="shared" si="41"/>
        <v>2974.3801652892562</v>
      </c>
      <c r="BG18" s="296">
        <f t="shared" si="41"/>
        <v>35692.561983471081</v>
      </c>
      <c r="BH18" s="296"/>
      <c r="BI18" s="296">
        <f t="shared" si="42"/>
        <v>300</v>
      </c>
      <c r="BJ18" s="296">
        <f t="shared" si="42"/>
        <v>300</v>
      </c>
      <c r="BK18" s="296">
        <f t="shared" si="42"/>
        <v>300</v>
      </c>
      <c r="BL18" s="296">
        <f t="shared" si="42"/>
        <v>300</v>
      </c>
      <c r="BM18" s="296">
        <f t="shared" si="42"/>
        <v>300</v>
      </c>
      <c r="BN18" s="296">
        <f t="shared" si="42"/>
        <v>300</v>
      </c>
      <c r="BO18" s="296">
        <f t="shared" si="42"/>
        <v>300</v>
      </c>
      <c r="BP18" s="296">
        <f t="shared" si="42"/>
        <v>300</v>
      </c>
      <c r="BQ18" s="296">
        <f t="shared" si="42"/>
        <v>300</v>
      </c>
      <c r="BR18" s="296">
        <f t="shared" si="42"/>
        <v>300</v>
      </c>
      <c r="BS18" s="296">
        <f t="shared" si="42"/>
        <v>300</v>
      </c>
      <c r="BT18" s="296">
        <f t="shared" si="42"/>
        <v>300</v>
      </c>
      <c r="BU18" s="296">
        <f t="shared" si="42"/>
        <v>3600</v>
      </c>
      <c r="BV18" s="296"/>
      <c r="BW18" s="296">
        <f t="shared" si="43"/>
        <v>833.33333333333337</v>
      </c>
      <c r="BX18" s="296">
        <f t="shared" si="43"/>
        <v>833.33333333333337</v>
      </c>
      <c r="BY18" s="296">
        <f t="shared" si="43"/>
        <v>833.33333333333337</v>
      </c>
      <c r="BZ18" s="296">
        <f t="shared" si="43"/>
        <v>833.33333333333337</v>
      </c>
      <c r="CA18" s="296">
        <f t="shared" si="43"/>
        <v>833.33333333333337</v>
      </c>
      <c r="CB18" s="296">
        <f t="shared" si="43"/>
        <v>833.33333333333337</v>
      </c>
      <c r="CC18" s="296">
        <f t="shared" si="43"/>
        <v>833.33333333333337</v>
      </c>
      <c r="CD18" s="296">
        <f t="shared" si="43"/>
        <v>833.33333333333337</v>
      </c>
      <c r="CE18" s="296">
        <f t="shared" si="43"/>
        <v>833.33333333333337</v>
      </c>
      <c r="CF18" s="296">
        <f t="shared" si="43"/>
        <v>833.33333333333337</v>
      </c>
      <c r="CG18" s="296">
        <f t="shared" si="43"/>
        <v>833.33333333333337</v>
      </c>
      <c r="CH18" s="296">
        <f t="shared" si="43"/>
        <v>833.33333333333337</v>
      </c>
      <c r="CI18" s="296">
        <f t="shared" si="43"/>
        <v>10000</v>
      </c>
      <c r="CJ18" s="296"/>
      <c r="CK18" s="296">
        <f t="shared" si="44"/>
        <v>41.666666666666664</v>
      </c>
      <c r="CL18" s="296">
        <f t="shared" si="44"/>
        <v>41.666666666666664</v>
      </c>
      <c r="CM18" s="296">
        <f t="shared" si="44"/>
        <v>41.666666666666664</v>
      </c>
      <c r="CN18" s="296">
        <f t="shared" si="44"/>
        <v>41.666666666666664</v>
      </c>
      <c r="CO18" s="296">
        <f t="shared" si="44"/>
        <v>41.666666666666664</v>
      </c>
      <c r="CP18" s="296">
        <f t="shared" si="44"/>
        <v>41.666666666666664</v>
      </c>
      <c r="CQ18" s="296">
        <f t="shared" si="44"/>
        <v>41.666666666666664</v>
      </c>
      <c r="CR18" s="296">
        <f t="shared" si="44"/>
        <v>41.666666666666664</v>
      </c>
      <c r="CS18" s="296">
        <f t="shared" si="44"/>
        <v>41.666666666666664</v>
      </c>
      <c r="CT18" s="296">
        <f t="shared" si="44"/>
        <v>41.666666666666664</v>
      </c>
      <c r="CU18" s="296">
        <f t="shared" si="44"/>
        <v>41.666666666666664</v>
      </c>
      <c r="CV18" s="296">
        <f t="shared" si="44"/>
        <v>41.666666666666664</v>
      </c>
      <c r="CW18" s="296">
        <f t="shared" si="44"/>
        <v>500.00000000000006</v>
      </c>
      <c r="CX18" s="296"/>
      <c r="CY18" s="296">
        <f t="shared" si="45"/>
        <v>1132</v>
      </c>
      <c r="CZ18" s="296">
        <f t="shared" si="45"/>
        <v>1132</v>
      </c>
      <c r="DA18" s="296">
        <f t="shared" si="45"/>
        <v>1132</v>
      </c>
      <c r="DB18" s="296">
        <f t="shared" si="45"/>
        <v>1132</v>
      </c>
      <c r="DC18" s="296">
        <f t="shared" si="45"/>
        <v>1132</v>
      </c>
      <c r="DD18" s="296">
        <f t="shared" si="45"/>
        <v>1132</v>
      </c>
      <c r="DE18" s="296">
        <f t="shared" si="45"/>
        <v>1132</v>
      </c>
      <c r="DF18" s="296">
        <f t="shared" si="45"/>
        <v>1132</v>
      </c>
      <c r="DG18" s="296">
        <f t="shared" si="45"/>
        <v>1132</v>
      </c>
      <c r="DH18" s="296">
        <f t="shared" si="45"/>
        <v>1132</v>
      </c>
      <c r="DI18" s="296">
        <f t="shared" si="45"/>
        <v>1132</v>
      </c>
      <c r="DJ18" s="296">
        <f t="shared" si="45"/>
        <v>1132</v>
      </c>
      <c r="DK18" s="296">
        <f t="shared" si="45"/>
        <v>13584</v>
      </c>
      <c r="DL18" s="296"/>
      <c r="DM18" s="296">
        <f t="shared" si="46"/>
        <v>1500</v>
      </c>
      <c r="DN18" s="296">
        <f t="shared" si="46"/>
        <v>0</v>
      </c>
      <c r="DO18" s="296">
        <f t="shared" si="46"/>
        <v>0</v>
      </c>
      <c r="DP18" s="296">
        <f t="shared" si="46"/>
        <v>0</v>
      </c>
      <c r="DQ18" s="296">
        <f t="shared" si="46"/>
        <v>0</v>
      </c>
      <c r="DR18" s="296">
        <f t="shared" si="46"/>
        <v>0</v>
      </c>
      <c r="DS18" s="296">
        <f t="shared" si="46"/>
        <v>0</v>
      </c>
      <c r="DT18" s="296">
        <f t="shared" si="46"/>
        <v>0</v>
      </c>
      <c r="DU18" s="296">
        <f t="shared" si="46"/>
        <v>0</v>
      </c>
      <c r="DV18" s="296">
        <f t="shared" si="46"/>
        <v>0</v>
      </c>
      <c r="DW18" s="296">
        <f t="shared" si="46"/>
        <v>0</v>
      </c>
      <c r="DX18" s="296">
        <f t="shared" si="46"/>
        <v>0</v>
      </c>
      <c r="DY18" s="296">
        <f t="shared" si="46"/>
        <v>1500</v>
      </c>
      <c r="DZ18" s="296"/>
      <c r="EA18" s="296">
        <f t="shared" si="47"/>
        <v>6781.3801652892562</v>
      </c>
      <c r="EB18" s="296">
        <f t="shared" si="47"/>
        <v>5281.3801652892562</v>
      </c>
      <c r="EC18" s="296">
        <f t="shared" si="47"/>
        <v>5281.3801652892562</v>
      </c>
      <c r="ED18" s="296">
        <f t="shared" si="47"/>
        <v>5281.3801652892562</v>
      </c>
      <c r="EE18" s="296">
        <f t="shared" si="47"/>
        <v>5281.3801652892562</v>
      </c>
      <c r="EF18" s="296">
        <f t="shared" si="47"/>
        <v>5281.3801652892562</v>
      </c>
      <c r="EG18" s="296">
        <f t="shared" si="47"/>
        <v>5281.3801652892562</v>
      </c>
      <c r="EH18" s="296">
        <f t="shared" si="47"/>
        <v>5281.3801652892562</v>
      </c>
      <c r="EI18" s="296">
        <f t="shared" si="47"/>
        <v>5281.3801652892562</v>
      </c>
      <c r="EJ18" s="296">
        <f t="shared" si="47"/>
        <v>5281.3801652892562</v>
      </c>
      <c r="EK18" s="296">
        <f t="shared" si="47"/>
        <v>5281.3801652892562</v>
      </c>
      <c r="EL18" s="296">
        <f t="shared" si="47"/>
        <v>5281.3801652892562</v>
      </c>
      <c r="EM18" s="296">
        <f t="shared" si="47"/>
        <v>64876.561983471089</v>
      </c>
      <c r="EN18" s="296"/>
    </row>
    <row r="19" spans="2:144" s="289" customFormat="1" ht="18.95" customHeight="1">
      <c r="B19" s="290"/>
      <c r="C19" s="291"/>
      <c r="D19" s="291"/>
      <c r="E19" s="291"/>
      <c r="F19" s="248">
        <v>5100</v>
      </c>
      <c r="G19" s="246" t="s">
        <v>64</v>
      </c>
      <c r="H19" s="293"/>
      <c r="I19" s="293"/>
      <c r="J19" s="291"/>
      <c r="K19" s="291"/>
      <c r="L19" s="294"/>
      <c r="M19" s="293"/>
      <c r="N19" s="295"/>
      <c r="O19" s="293"/>
      <c r="P19" s="293"/>
      <c r="Q19" s="293"/>
      <c r="R19" s="296"/>
      <c r="S19" s="296">
        <f t="shared" si="39"/>
        <v>0</v>
      </c>
      <c r="T19" s="296">
        <f t="shared" si="39"/>
        <v>0</v>
      </c>
      <c r="U19" s="296">
        <f t="shared" si="39"/>
        <v>0</v>
      </c>
      <c r="V19" s="296">
        <f t="shared" si="39"/>
        <v>0</v>
      </c>
      <c r="W19" s="296">
        <f t="shared" si="39"/>
        <v>0</v>
      </c>
      <c r="X19" s="296">
        <f t="shared" si="39"/>
        <v>0</v>
      </c>
      <c r="Y19" s="296">
        <f t="shared" si="39"/>
        <v>0</v>
      </c>
      <c r="Z19" s="296">
        <f t="shared" si="39"/>
        <v>0</v>
      </c>
      <c r="AA19" s="296">
        <f t="shared" si="39"/>
        <v>0</v>
      </c>
      <c r="AB19" s="296">
        <f t="shared" si="39"/>
        <v>0</v>
      </c>
      <c r="AC19" s="296">
        <f t="shared" si="39"/>
        <v>0</v>
      </c>
      <c r="AD19" s="296">
        <f t="shared" si="39"/>
        <v>0</v>
      </c>
      <c r="AE19" s="296">
        <f t="shared" si="39"/>
        <v>0</v>
      </c>
      <c r="AF19" s="296"/>
      <c r="AG19" s="296">
        <f t="shared" si="40"/>
        <v>0</v>
      </c>
      <c r="AH19" s="296">
        <f t="shared" si="40"/>
        <v>0</v>
      </c>
      <c r="AI19" s="296">
        <f t="shared" si="40"/>
        <v>0</v>
      </c>
      <c r="AJ19" s="296">
        <f t="shared" si="40"/>
        <v>0</v>
      </c>
      <c r="AK19" s="296">
        <f t="shared" si="40"/>
        <v>0</v>
      </c>
      <c r="AL19" s="296">
        <f t="shared" si="40"/>
        <v>0</v>
      </c>
      <c r="AM19" s="296">
        <f t="shared" si="40"/>
        <v>0</v>
      </c>
      <c r="AN19" s="296">
        <f t="shared" si="40"/>
        <v>0</v>
      </c>
      <c r="AO19" s="296">
        <f t="shared" si="40"/>
        <v>0</v>
      </c>
      <c r="AP19" s="296">
        <f t="shared" si="40"/>
        <v>0</v>
      </c>
      <c r="AQ19" s="296">
        <f t="shared" si="40"/>
        <v>0</v>
      </c>
      <c r="AR19" s="296">
        <f t="shared" si="40"/>
        <v>0</v>
      </c>
      <c r="AS19" s="296">
        <f t="shared" si="40"/>
        <v>0</v>
      </c>
      <c r="AT19" s="296"/>
      <c r="AU19" s="296">
        <f t="shared" si="41"/>
        <v>0</v>
      </c>
      <c r="AV19" s="296">
        <f t="shared" si="41"/>
        <v>0</v>
      </c>
      <c r="AW19" s="296">
        <f t="shared" si="41"/>
        <v>0</v>
      </c>
      <c r="AX19" s="296">
        <f t="shared" si="41"/>
        <v>0</v>
      </c>
      <c r="AY19" s="296">
        <f t="shared" si="41"/>
        <v>0</v>
      </c>
      <c r="AZ19" s="296">
        <f t="shared" si="41"/>
        <v>0</v>
      </c>
      <c r="BA19" s="296">
        <f t="shared" si="41"/>
        <v>0</v>
      </c>
      <c r="BB19" s="296">
        <f t="shared" si="41"/>
        <v>0</v>
      </c>
      <c r="BC19" s="296">
        <f t="shared" si="41"/>
        <v>0</v>
      </c>
      <c r="BD19" s="296">
        <f t="shared" si="41"/>
        <v>0</v>
      </c>
      <c r="BE19" s="296">
        <f t="shared" si="41"/>
        <v>0</v>
      </c>
      <c r="BF19" s="296">
        <f t="shared" si="41"/>
        <v>0</v>
      </c>
      <c r="BG19" s="296">
        <f t="shared" si="41"/>
        <v>0</v>
      </c>
      <c r="BH19" s="296"/>
      <c r="BI19" s="296">
        <f t="shared" si="42"/>
        <v>0</v>
      </c>
      <c r="BJ19" s="296">
        <f t="shared" si="42"/>
        <v>0</v>
      </c>
      <c r="BK19" s="296">
        <f t="shared" si="42"/>
        <v>0</v>
      </c>
      <c r="BL19" s="296">
        <f t="shared" si="42"/>
        <v>0</v>
      </c>
      <c r="BM19" s="296">
        <f t="shared" si="42"/>
        <v>0</v>
      </c>
      <c r="BN19" s="296">
        <f t="shared" si="42"/>
        <v>0</v>
      </c>
      <c r="BO19" s="296">
        <f t="shared" si="42"/>
        <v>0</v>
      </c>
      <c r="BP19" s="296">
        <f t="shared" si="42"/>
        <v>0</v>
      </c>
      <c r="BQ19" s="296">
        <f t="shared" si="42"/>
        <v>0</v>
      </c>
      <c r="BR19" s="296">
        <f t="shared" si="42"/>
        <v>0</v>
      </c>
      <c r="BS19" s="296">
        <f t="shared" si="42"/>
        <v>0</v>
      </c>
      <c r="BT19" s="296">
        <f t="shared" si="42"/>
        <v>0</v>
      </c>
      <c r="BU19" s="296">
        <f t="shared" si="42"/>
        <v>0</v>
      </c>
      <c r="BV19" s="296"/>
      <c r="BW19" s="296">
        <f t="shared" si="43"/>
        <v>0</v>
      </c>
      <c r="BX19" s="296">
        <f t="shared" si="43"/>
        <v>0</v>
      </c>
      <c r="BY19" s="296">
        <f t="shared" si="43"/>
        <v>0</v>
      </c>
      <c r="BZ19" s="296">
        <f t="shared" si="43"/>
        <v>0</v>
      </c>
      <c r="CA19" s="296">
        <f t="shared" si="43"/>
        <v>0</v>
      </c>
      <c r="CB19" s="296">
        <f t="shared" si="43"/>
        <v>0</v>
      </c>
      <c r="CC19" s="296">
        <f t="shared" si="43"/>
        <v>0</v>
      </c>
      <c r="CD19" s="296">
        <f t="shared" si="43"/>
        <v>0</v>
      </c>
      <c r="CE19" s="296">
        <f t="shared" si="43"/>
        <v>0</v>
      </c>
      <c r="CF19" s="296">
        <f t="shared" si="43"/>
        <v>0</v>
      </c>
      <c r="CG19" s="296">
        <f t="shared" si="43"/>
        <v>0</v>
      </c>
      <c r="CH19" s="296">
        <f t="shared" si="43"/>
        <v>0</v>
      </c>
      <c r="CI19" s="296">
        <f t="shared" si="43"/>
        <v>0</v>
      </c>
      <c r="CJ19" s="296"/>
      <c r="CK19" s="296">
        <f t="shared" si="44"/>
        <v>0</v>
      </c>
      <c r="CL19" s="296">
        <f t="shared" si="44"/>
        <v>0</v>
      </c>
      <c r="CM19" s="296">
        <f t="shared" si="44"/>
        <v>0</v>
      </c>
      <c r="CN19" s="296">
        <f t="shared" si="44"/>
        <v>0</v>
      </c>
      <c r="CO19" s="296">
        <f t="shared" si="44"/>
        <v>0</v>
      </c>
      <c r="CP19" s="296">
        <f t="shared" si="44"/>
        <v>0</v>
      </c>
      <c r="CQ19" s="296">
        <f t="shared" si="44"/>
        <v>0</v>
      </c>
      <c r="CR19" s="296">
        <f t="shared" si="44"/>
        <v>0</v>
      </c>
      <c r="CS19" s="296">
        <f t="shared" si="44"/>
        <v>0</v>
      </c>
      <c r="CT19" s="296">
        <f t="shared" si="44"/>
        <v>0</v>
      </c>
      <c r="CU19" s="296">
        <f t="shared" si="44"/>
        <v>0</v>
      </c>
      <c r="CV19" s="296">
        <f t="shared" si="44"/>
        <v>0</v>
      </c>
      <c r="CW19" s="296">
        <f t="shared" si="44"/>
        <v>0</v>
      </c>
      <c r="CX19" s="296"/>
      <c r="CY19" s="296">
        <f t="shared" si="45"/>
        <v>0</v>
      </c>
      <c r="CZ19" s="296">
        <f t="shared" si="45"/>
        <v>0</v>
      </c>
      <c r="DA19" s="296">
        <f t="shared" si="45"/>
        <v>0</v>
      </c>
      <c r="DB19" s="296">
        <f t="shared" si="45"/>
        <v>0</v>
      </c>
      <c r="DC19" s="296">
        <f t="shared" si="45"/>
        <v>0</v>
      </c>
      <c r="DD19" s="296">
        <f t="shared" si="45"/>
        <v>0</v>
      </c>
      <c r="DE19" s="296">
        <f t="shared" si="45"/>
        <v>0</v>
      </c>
      <c r="DF19" s="296">
        <f t="shared" si="45"/>
        <v>0</v>
      </c>
      <c r="DG19" s="296">
        <f t="shared" si="45"/>
        <v>0</v>
      </c>
      <c r="DH19" s="296">
        <f t="shared" si="45"/>
        <v>0</v>
      </c>
      <c r="DI19" s="296">
        <f t="shared" si="45"/>
        <v>0</v>
      </c>
      <c r="DJ19" s="296">
        <f t="shared" si="45"/>
        <v>0</v>
      </c>
      <c r="DK19" s="296">
        <f t="shared" si="45"/>
        <v>0</v>
      </c>
      <c r="DL19" s="296"/>
      <c r="DM19" s="296">
        <f t="shared" si="46"/>
        <v>0</v>
      </c>
      <c r="DN19" s="296">
        <f t="shared" si="46"/>
        <v>0</v>
      </c>
      <c r="DO19" s="296">
        <f t="shared" si="46"/>
        <v>0</v>
      </c>
      <c r="DP19" s="296">
        <f t="shared" si="46"/>
        <v>0</v>
      </c>
      <c r="DQ19" s="296">
        <f t="shared" si="46"/>
        <v>0</v>
      </c>
      <c r="DR19" s="296">
        <f t="shared" si="46"/>
        <v>0</v>
      </c>
      <c r="DS19" s="296">
        <f t="shared" si="46"/>
        <v>0</v>
      </c>
      <c r="DT19" s="296">
        <f t="shared" si="46"/>
        <v>0</v>
      </c>
      <c r="DU19" s="296">
        <f t="shared" si="46"/>
        <v>0</v>
      </c>
      <c r="DV19" s="296">
        <f t="shared" si="46"/>
        <v>0</v>
      </c>
      <c r="DW19" s="296">
        <f t="shared" si="46"/>
        <v>0</v>
      </c>
      <c r="DX19" s="296">
        <f t="shared" si="46"/>
        <v>0</v>
      </c>
      <c r="DY19" s="296">
        <f t="shared" si="46"/>
        <v>0</v>
      </c>
      <c r="DZ19" s="296"/>
      <c r="EA19" s="296">
        <f t="shared" si="47"/>
        <v>0</v>
      </c>
      <c r="EB19" s="296">
        <f t="shared" si="47"/>
        <v>0</v>
      </c>
      <c r="EC19" s="296">
        <f t="shared" si="47"/>
        <v>0</v>
      </c>
      <c r="ED19" s="296">
        <f t="shared" si="47"/>
        <v>0</v>
      </c>
      <c r="EE19" s="296">
        <f t="shared" si="47"/>
        <v>0</v>
      </c>
      <c r="EF19" s="296">
        <f t="shared" si="47"/>
        <v>0</v>
      </c>
      <c r="EG19" s="296">
        <f t="shared" si="47"/>
        <v>0</v>
      </c>
      <c r="EH19" s="296">
        <f t="shared" si="47"/>
        <v>0</v>
      </c>
      <c r="EI19" s="296">
        <f t="shared" si="47"/>
        <v>0</v>
      </c>
      <c r="EJ19" s="296">
        <f t="shared" si="47"/>
        <v>0</v>
      </c>
      <c r="EK19" s="296">
        <f t="shared" si="47"/>
        <v>0</v>
      </c>
      <c r="EL19" s="296">
        <f t="shared" si="47"/>
        <v>0</v>
      </c>
      <c r="EM19" s="296">
        <f t="shared" si="47"/>
        <v>0</v>
      </c>
      <c r="EN19" s="296"/>
    </row>
    <row r="20" spans="2:144" s="289" customFormat="1" ht="18.95" customHeight="1">
      <c r="B20" s="290"/>
      <c r="C20" s="291"/>
      <c r="D20" s="291"/>
      <c r="E20" s="291"/>
      <c r="F20" s="248">
        <v>6100</v>
      </c>
      <c r="G20" s="246" t="s">
        <v>65</v>
      </c>
      <c r="H20" s="293"/>
      <c r="I20" s="293"/>
      <c r="J20" s="291"/>
      <c r="K20" s="291"/>
      <c r="L20" s="294"/>
      <c r="M20" s="293"/>
      <c r="N20" s="295"/>
      <c r="O20" s="293"/>
      <c r="P20" s="293"/>
      <c r="Q20" s="293"/>
      <c r="R20" s="296"/>
      <c r="S20" s="296">
        <f t="shared" si="39"/>
        <v>0</v>
      </c>
      <c r="T20" s="296">
        <f t="shared" si="39"/>
        <v>0</v>
      </c>
      <c r="U20" s="296">
        <f t="shared" si="39"/>
        <v>0</v>
      </c>
      <c r="V20" s="296">
        <f t="shared" si="39"/>
        <v>0</v>
      </c>
      <c r="W20" s="296">
        <f t="shared" si="39"/>
        <v>0</v>
      </c>
      <c r="X20" s="296">
        <f t="shared" si="39"/>
        <v>0</v>
      </c>
      <c r="Y20" s="296">
        <f t="shared" si="39"/>
        <v>0</v>
      </c>
      <c r="Z20" s="296">
        <f t="shared" si="39"/>
        <v>0</v>
      </c>
      <c r="AA20" s="296">
        <f t="shared" si="39"/>
        <v>0</v>
      </c>
      <c r="AB20" s="296">
        <f t="shared" si="39"/>
        <v>0</v>
      </c>
      <c r="AC20" s="296">
        <f t="shared" si="39"/>
        <v>0</v>
      </c>
      <c r="AD20" s="296">
        <f t="shared" si="39"/>
        <v>0</v>
      </c>
      <c r="AE20" s="296">
        <f t="shared" si="39"/>
        <v>0</v>
      </c>
      <c r="AF20" s="296"/>
      <c r="AG20" s="296">
        <f t="shared" si="40"/>
        <v>0</v>
      </c>
      <c r="AH20" s="296">
        <f t="shared" si="40"/>
        <v>0</v>
      </c>
      <c r="AI20" s="296">
        <f t="shared" si="40"/>
        <v>0</v>
      </c>
      <c r="AJ20" s="296">
        <f t="shared" si="40"/>
        <v>0</v>
      </c>
      <c r="AK20" s="296">
        <f t="shared" si="40"/>
        <v>0</v>
      </c>
      <c r="AL20" s="296">
        <f t="shared" si="40"/>
        <v>0</v>
      </c>
      <c r="AM20" s="296">
        <f t="shared" si="40"/>
        <v>0</v>
      </c>
      <c r="AN20" s="296">
        <f t="shared" si="40"/>
        <v>0</v>
      </c>
      <c r="AO20" s="296">
        <f t="shared" si="40"/>
        <v>0</v>
      </c>
      <c r="AP20" s="296">
        <f t="shared" si="40"/>
        <v>0</v>
      </c>
      <c r="AQ20" s="296">
        <f t="shared" si="40"/>
        <v>0</v>
      </c>
      <c r="AR20" s="296">
        <f t="shared" si="40"/>
        <v>0</v>
      </c>
      <c r="AS20" s="296">
        <f t="shared" si="40"/>
        <v>0</v>
      </c>
      <c r="AT20" s="296"/>
      <c r="AU20" s="296">
        <f t="shared" si="41"/>
        <v>0</v>
      </c>
      <c r="AV20" s="296">
        <f t="shared" si="41"/>
        <v>0</v>
      </c>
      <c r="AW20" s="296">
        <f t="shared" si="41"/>
        <v>0</v>
      </c>
      <c r="AX20" s="296">
        <f t="shared" si="41"/>
        <v>0</v>
      </c>
      <c r="AY20" s="296">
        <f t="shared" si="41"/>
        <v>0</v>
      </c>
      <c r="AZ20" s="296">
        <f t="shared" si="41"/>
        <v>0</v>
      </c>
      <c r="BA20" s="296">
        <f t="shared" si="41"/>
        <v>0</v>
      </c>
      <c r="BB20" s="296">
        <f t="shared" si="41"/>
        <v>0</v>
      </c>
      <c r="BC20" s="296">
        <f t="shared" si="41"/>
        <v>0</v>
      </c>
      <c r="BD20" s="296">
        <f t="shared" si="41"/>
        <v>0</v>
      </c>
      <c r="BE20" s="296">
        <f t="shared" si="41"/>
        <v>0</v>
      </c>
      <c r="BF20" s="296">
        <f t="shared" si="41"/>
        <v>0</v>
      </c>
      <c r="BG20" s="296">
        <f t="shared" si="41"/>
        <v>0</v>
      </c>
      <c r="BH20" s="296"/>
      <c r="BI20" s="296">
        <f t="shared" si="42"/>
        <v>0</v>
      </c>
      <c r="BJ20" s="296">
        <f t="shared" si="42"/>
        <v>0</v>
      </c>
      <c r="BK20" s="296">
        <f t="shared" si="42"/>
        <v>0</v>
      </c>
      <c r="BL20" s="296">
        <f t="shared" si="42"/>
        <v>0</v>
      </c>
      <c r="BM20" s="296">
        <f t="shared" si="42"/>
        <v>0</v>
      </c>
      <c r="BN20" s="296">
        <f t="shared" si="42"/>
        <v>0</v>
      </c>
      <c r="BO20" s="296">
        <f t="shared" si="42"/>
        <v>0</v>
      </c>
      <c r="BP20" s="296">
        <f t="shared" si="42"/>
        <v>0</v>
      </c>
      <c r="BQ20" s="296">
        <f t="shared" si="42"/>
        <v>0</v>
      </c>
      <c r="BR20" s="296">
        <f t="shared" si="42"/>
        <v>0</v>
      </c>
      <c r="BS20" s="296">
        <f t="shared" si="42"/>
        <v>0</v>
      </c>
      <c r="BT20" s="296">
        <f t="shared" si="42"/>
        <v>0</v>
      </c>
      <c r="BU20" s="296">
        <f t="shared" si="42"/>
        <v>0</v>
      </c>
      <c r="BV20" s="296"/>
      <c r="BW20" s="296">
        <f t="shared" si="43"/>
        <v>0</v>
      </c>
      <c r="BX20" s="296">
        <f t="shared" si="43"/>
        <v>0</v>
      </c>
      <c r="BY20" s="296">
        <f t="shared" si="43"/>
        <v>0</v>
      </c>
      <c r="BZ20" s="296">
        <f t="shared" si="43"/>
        <v>0</v>
      </c>
      <c r="CA20" s="296">
        <f t="shared" si="43"/>
        <v>0</v>
      </c>
      <c r="CB20" s="296">
        <f t="shared" si="43"/>
        <v>0</v>
      </c>
      <c r="CC20" s="296">
        <f t="shared" si="43"/>
        <v>0</v>
      </c>
      <c r="CD20" s="296">
        <f t="shared" si="43"/>
        <v>0</v>
      </c>
      <c r="CE20" s="296">
        <f t="shared" si="43"/>
        <v>0</v>
      </c>
      <c r="CF20" s="296">
        <f t="shared" si="43"/>
        <v>0</v>
      </c>
      <c r="CG20" s="296">
        <f t="shared" si="43"/>
        <v>0</v>
      </c>
      <c r="CH20" s="296">
        <f t="shared" si="43"/>
        <v>0</v>
      </c>
      <c r="CI20" s="296">
        <f t="shared" si="43"/>
        <v>0</v>
      </c>
      <c r="CJ20" s="296"/>
      <c r="CK20" s="296">
        <f t="shared" si="44"/>
        <v>0</v>
      </c>
      <c r="CL20" s="296">
        <f t="shared" si="44"/>
        <v>0</v>
      </c>
      <c r="CM20" s="296">
        <f t="shared" si="44"/>
        <v>0</v>
      </c>
      <c r="CN20" s="296">
        <f t="shared" si="44"/>
        <v>0</v>
      </c>
      <c r="CO20" s="296">
        <f t="shared" si="44"/>
        <v>0</v>
      </c>
      <c r="CP20" s="296">
        <f t="shared" si="44"/>
        <v>0</v>
      </c>
      <c r="CQ20" s="296">
        <f t="shared" si="44"/>
        <v>0</v>
      </c>
      <c r="CR20" s="296">
        <f t="shared" si="44"/>
        <v>0</v>
      </c>
      <c r="CS20" s="296">
        <f t="shared" si="44"/>
        <v>0</v>
      </c>
      <c r="CT20" s="296">
        <f t="shared" si="44"/>
        <v>0</v>
      </c>
      <c r="CU20" s="296">
        <f t="shared" si="44"/>
        <v>0</v>
      </c>
      <c r="CV20" s="296">
        <f t="shared" si="44"/>
        <v>0</v>
      </c>
      <c r="CW20" s="296">
        <f t="shared" si="44"/>
        <v>0</v>
      </c>
      <c r="CX20" s="296"/>
      <c r="CY20" s="296">
        <f t="shared" si="45"/>
        <v>0</v>
      </c>
      <c r="CZ20" s="296">
        <f t="shared" si="45"/>
        <v>0</v>
      </c>
      <c r="DA20" s="296">
        <f t="shared" si="45"/>
        <v>0</v>
      </c>
      <c r="DB20" s="296">
        <f t="shared" si="45"/>
        <v>0</v>
      </c>
      <c r="DC20" s="296">
        <f t="shared" si="45"/>
        <v>0</v>
      </c>
      <c r="DD20" s="296">
        <f t="shared" si="45"/>
        <v>0</v>
      </c>
      <c r="DE20" s="296">
        <f t="shared" si="45"/>
        <v>0</v>
      </c>
      <c r="DF20" s="296">
        <f t="shared" si="45"/>
        <v>0</v>
      </c>
      <c r="DG20" s="296">
        <f t="shared" si="45"/>
        <v>0</v>
      </c>
      <c r="DH20" s="296">
        <f t="shared" si="45"/>
        <v>0</v>
      </c>
      <c r="DI20" s="296">
        <f t="shared" si="45"/>
        <v>0</v>
      </c>
      <c r="DJ20" s="296">
        <f t="shared" si="45"/>
        <v>0</v>
      </c>
      <c r="DK20" s="296">
        <f t="shared" si="45"/>
        <v>0</v>
      </c>
      <c r="DL20" s="296"/>
      <c r="DM20" s="296">
        <f t="shared" si="46"/>
        <v>0</v>
      </c>
      <c r="DN20" s="296">
        <f t="shared" si="46"/>
        <v>0</v>
      </c>
      <c r="DO20" s="296">
        <f t="shared" si="46"/>
        <v>0</v>
      </c>
      <c r="DP20" s="296">
        <f t="shared" si="46"/>
        <v>0</v>
      </c>
      <c r="DQ20" s="296">
        <f t="shared" si="46"/>
        <v>0</v>
      </c>
      <c r="DR20" s="296">
        <f t="shared" si="46"/>
        <v>0</v>
      </c>
      <c r="DS20" s="296">
        <f t="shared" si="46"/>
        <v>0</v>
      </c>
      <c r="DT20" s="296">
        <f t="shared" si="46"/>
        <v>0</v>
      </c>
      <c r="DU20" s="296">
        <f t="shared" si="46"/>
        <v>0</v>
      </c>
      <c r="DV20" s="296">
        <f t="shared" si="46"/>
        <v>0</v>
      </c>
      <c r="DW20" s="296">
        <f t="shared" si="46"/>
        <v>0</v>
      </c>
      <c r="DX20" s="296">
        <f t="shared" si="46"/>
        <v>0</v>
      </c>
      <c r="DY20" s="296">
        <f t="shared" si="46"/>
        <v>0</v>
      </c>
      <c r="DZ20" s="296"/>
      <c r="EA20" s="296">
        <f t="shared" si="47"/>
        <v>0</v>
      </c>
      <c r="EB20" s="296">
        <f t="shared" si="47"/>
        <v>0</v>
      </c>
      <c r="EC20" s="296">
        <f t="shared" si="47"/>
        <v>0</v>
      </c>
      <c r="ED20" s="296">
        <f t="shared" si="47"/>
        <v>0</v>
      </c>
      <c r="EE20" s="296">
        <f t="shared" si="47"/>
        <v>0</v>
      </c>
      <c r="EF20" s="296">
        <f t="shared" si="47"/>
        <v>0</v>
      </c>
      <c r="EG20" s="296">
        <f t="shared" si="47"/>
        <v>0</v>
      </c>
      <c r="EH20" s="296">
        <f t="shared" si="47"/>
        <v>0</v>
      </c>
      <c r="EI20" s="296">
        <f t="shared" si="47"/>
        <v>0</v>
      </c>
      <c r="EJ20" s="296">
        <f t="shared" si="47"/>
        <v>0</v>
      </c>
      <c r="EK20" s="296">
        <f t="shared" si="47"/>
        <v>0</v>
      </c>
      <c r="EL20" s="296">
        <f t="shared" si="47"/>
        <v>0</v>
      </c>
      <c r="EM20" s="296">
        <f t="shared" si="47"/>
        <v>0</v>
      </c>
      <c r="EN20" s="296"/>
    </row>
    <row r="21" spans="2:144" s="289" customFormat="1" ht="18.95" customHeight="1">
      <c r="B21" s="290"/>
      <c r="C21" s="291"/>
      <c r="D21" s="291"/>
      <c r="E21" s="291"/>
      <c r="F21" s="248">
        <v>6200</v>
      </c>
      <c r="G21" s="246" t="s">
        <v>66</v>
      </c>
      <c r="H21" s="293"/>
      <c r="I21" s="293"/>
      <c r="J21" s="291"/>
      <c r="K21" s="291"/>
      <c r="L21" s="294"/>
      <c r="M21" s="293"/>
      <c r="N21" s="295"/>
      <c r="O21" s="293"/>
      <c r="P21" s="293"/>
      <c r="Q21" s="293"/>
      <c r="R21" s="296"/>
      <c r="S21" s="296">
        <f t="shared" si="39"/>
        <v>0</v>
      </c>
      <c r="T21" s="296">
        <f t="shared" si="39"/>
        <v>0</v>
      </c>
      <c r="U21" s="296">
        <f t="shared" si="39"/>
        <v>0</v>
      </c>
      <c r="V21" s="296">
        <f t="shared" si="39"/>
        <v>0</v>
      </c>
      <c r="W21" s="296">
        <f t="shared" si="39"/>
        <v>0</v>
      </c>
      <c r="X21" s="296">
        <f t="shared" si="39"/>
        <v>0</v>
      </c>
      <c r="Y21" s="296">
        <f t="shared" si="39"/>
        <v>0</v>
      </c>
      <c r="Z21" s="296">
        <f t="shared" si="39"/>
        <v>0</v>
      </c>
      <c r="AA21" s="296">
        <f t="shared" si="39"/>
        <v>0</v>
      </c>
      <c r="AB21" s="296">
        <f t="shared" si="39"/>
        <v>0</v>
      </c>
      <c r="AC21" s="296">
        <f t="shared" si="39"/>
        <v>0</v>
      </c>
      <c r="AD21" s="296">
        <f t="shared" si="39"/>
        <v>0</v>
      </c>
      <c r="AE21" s="296">
        <f t="shared" si="39"/>
        <v>0</v>
      </c>
      <c r="AF21" s="296"/>
      <c r="AG21" s="296">
        <f t="shared" si="40"/>
        <v>0</v>
      </c>
      <c r="AH21" s="296">
        <f t="shared" si="40"/>
        <v>0</v>
      </c>
      <c r="AI21" s="296">
        <f t="shared" si="40"/>
        <v>0</v>
      </c>
      <c r="AJ21" s="296">
        <f t="shared" si="40"/>
        <v>0</v>
      </c>
      <c r="AK21" s="296">
        <f t="shared" si="40"/>
        <v>0</v>
      </c>
      <c r="AL21" s="296">
        <f t="shared" si="40"/>
        <v>0</v>
      </c>
      <c r="AM21" s="296">
        <f t="shared" si="40"/>
        <v>0</v>
      </c>
      <c r="AN21" s="296">
        <f t="shared" si="40"/>
        <v>0</v>
      </c>
      <c r="AO21" s="296">
        <f t="shared" si="40"/>
        <v>0</v>
      </c>
      <c r="AP21" s="296">
        <f t="shared" si="40"/>
        <v>0</v>
      </c>
      <c r="AQ21" s="296">
        <f t="shared" si="40"/>
        <v>0</v>
      </c>
      <c r="AR21" s="296">
        <f t="shared" si="40"/>
        <v>0</v>
      </c>
      <c r="AS21" s="296">
        <f t="shared" si="40"/>
        <v>0</v>
      </c>
      <c r="AT21" s="296"/>
      <c r="AU21" s="296">
        <f t="shared" si="41"/>
        <v>0</v>
      </c>
      <c r="AV21" s="296">
        <f t="shared" si="41"/>
        <v>0</v>
      </c>
      <c r="AW21" s="296">
        <f t="shared" si="41"/>
        <v>0</v>
      </c>
      <c r="AX21" s="296">
        <f t="shared" si="41"/>
        <v>0</v>
      </c>
      <c r="AY21" s="296">
        <f t="shared" si="41"/>
        <v>0</v>
      </c>
      <c r="AZ21" s="296">
        <f t="shared" si="41"/>
        <v>0</v>
      </c>
      <c r="BA21" s="296">
        <f t="shared" si="41"/>
        <v>0</v>
      </c>
      <c r="BB21" s="296">
        <f t="shared" si="41"/>
        <v>0</v>
      </c>
      <c r="BC21" s="296">
        <f t="shared" si="41"/>
        <v>0</v>
      </c>
      <c r="BD21" s="296">
        <f t="shared" si="41"/>
        <v>0</v>
      </c>
      <c r="BE21" s="296">
        <f t="shared" si="41"/>
        <v>0</v>
      </c>
      <c r="BF21" s="296">
        <f t="shared" si="41"/>
        <v>0</v>
      </c>
      <c r="BG21" s="296">
        <f t="shared" si="41"/>
        <v>0</v>
      </c>
      <c r="BH21" s="296"/>
      <c r="BI21" s="296">
        <f t="shared" si="42"/>
        <v>0</v>
      </c>
      <c r="BJ21" s="296">
        <f t="shared" si="42"/>
        <v>0</v>
      </c>
      <c r="BK21" s="296">
        <f t="shared" si="42"/>
        <v>0</v>
      </c>
      <c r="BL21" s="296">
        <f t="shared" si="42"/>
        <v>0</v>
      </c>
      <c r="BM21" s="296">
        <f t="shared" si="42"/>
        <v>0</v>
      </c>
      <c r="BN21" s="296">
        <f t="shared" si="42"/>
        <v>0</v>
      </c>
      <c r="BO21" s="296">
        <f t="shared" si="42"/>
        <v>0</v>
      </c>
      <c r="BP21" s="296">
        <f t="shared" si="42"/>
        <v>0</v>
      </c>
      <c r="BQ21" s="296">
        <f t="shared" si="42"/>
        <v>0</v>
      </c>
      <c r="BR21" s="296">
        <f t="shared" si="42"/>
        <v>0</v>
      </c>
      <c r="BS21" s="296">
        <f t="shared" si="42"/>
        <v>0</v>
      </c>
      <c r="BT21" s="296">
        <f t="shared" si="42"/>
        <v>0</v>
      </c>
      <c r="BU21" s="296">
        <f t="shared" si="42"/>
        <v>0</v>
      </c>
      <c r="BV21" s="296"/>
      <c r="BW21" s="296">
        <f t="shared" si="43"/>
        <v>0</v>
      </c>
      <c r="BX21" s="296">
        <f t="shared" si="43"/>
        <v>0</v>
      </c>
      <c r="BY21" s="296">
        <f t="shared" si="43"/>
        <v>0</v>
      </c>
      <c r="BZ21" s="296">
        <f t="shared" si="43"/>
        <v>0</v>
      </c>
      <c r="CA21" s="296">
        <f t="shared" si="43"/>
        <v>0</v>
      </c>
      <c r="CB21" s="296">
        <f t="shared" si="43"/>
        <v>0</v>
      </c>
      <c r="CC21" s="296">
        <f t="shared" si="43"/>
        <v>0</v>
      </c>
      <c r="CD21" s="296">
        <f t="shared" si="43"/>
        <v>0</v>
      </c>
      <c r="CE21" s="296">
        <f t="shared" si="43"/>
        <v>0</v>
      </c>
      <c r="CF21" s="296">
        <f t="shared" si="43"/>
        <v>0</v>
      </c>
      <c r="CG21" s="296">
        <f t="shared" si="43"/>
        <v>0</v>
      </c>
      <c r="CH21" s="296">
        <f t="shared" si="43"/>
        <v>0</v>
      </c>
      <c r="CI21" s="296">
        <f t="shared" si="43"/>
        <v>0</v>
      </c>
      <c r="CJ21" s="296"/>
      <c r="CK21" s="296">
        <f t="shared" si="44"/>
        <v>0</v>
      </c>
      <c r="CL21" s="296">
        <f t="shared" si="44"/>
        <v>0</v>
      </c>
      <c r="CM21" s="296">
        <f t="shared" si="44"/>
        <v>0</v>
      </c>
      <c r="CN21" s="296">
        <f t="shared" si="44"/>
        <v>0</v>
      </c>
      <c r="CO21" s="296">
        <f t="shared" si="44"/>
        <v>0</v>
      </c>
      <c r="CP21" s="296">
        <f t="shared" si="44"/>
        <v>0</v>
      </c>
      <c r="CQ21" s="296">
        <f t="shared" si="44"/>
        <v>0</v>
      </c>
      <c r="CR21" s="296">
        <f t="shared" si="44"/>
        <v>0</v>
      </c>
      <c r="CS21" s="296">
        <f t="shared" si="44"/>
        <v>0</v>
      </c>
      <c r="CT21" s="296">
        <f t="shared" si="44"/>
        <v>0</v>
      </c>
      <c r="CU21" s="296">
        <f t="shared" si="44"/>
        <v>0</v>
      </c>
      <c r="CV21" s="296">
        <f t="shared" si="44"/>
        <v>0</v>
      </c>
      <c r="CW21" s="296">
        <f t="shared" si="44"/>
        <v>0</v>
      </c>
      <c r="CX21" s="296"/>
      <c r="CY21" s="296">
        <f t="shared" si="45"/>
        <v>0</v>
      </c>
      <c r="CZ21" s="296">
        <f t="shared" si="45"/>
        <v>0</v>
      </c>
      <c r="DA21" s="296">
        <f t="shared" si="45"/>
        <v>0</v>
      </c>
      <c r="DB21" s="296">
        <f t="shared" si="45"/>
        <v>0</v>
      </c>
      <c r="DC21" s="296">
        <f t="shared" si="45"/>
        <v>0</v>
      </c>
      <c r="DD21" s="296">
        <f t="shared" si="45"/>
        <v>0</v>
      </c>
      <c r="DE21" s="296">
        <f t="shared" si="45"/>
        <v>0</v>
      </c>
      <c r="DF21" s="296">
        <f t="shared" si="45"/>
        <v>0</v>
      </c>
      <c r="DG21" s="296">
        <f t="shared" si="45"/>
        <v>0</v>
      </c>
      <c r="DH21" s="296">
        <f t="shared" si="45"/>
        <v>0</v>
      </c>
      <c r="DI21" s="296">
        <f t="shared" si="45"/>
        <v>0</v>
      </c>
      <c r="DJ21" s="296">
        <f t="shared" si="45"/>
        <v>0</v>
      </c>
      <c r="DK21" s="296">
        <f t="shared" si="45"/>
        <v>0</v>
      </c>
      <c r="DL21" s="296"/>
      <c r="DM21" s="296">
        <f t="shared" si="46"/>
        <v>0</v>
      </c>
      <c r="DN21" s="296">
        <f t="shared" si="46"/>
        <v>0</v>
      </c>
      <c r="DO21" s="296">
        <f t="shared" si="46"/>
        <v>0</v>
      </c>
      <c r="DP21" s="296">
        <f t="shared" si="46"/>
        <v>0</v>
      </c>
      <c r="DQ21" s="296">
        <f t="shared" si="46"/>
        <v>0</v>
      </c>
      <c r="DR21" s="296">
        <f t="shared" si="46"/>
        <v>0</v>
      </c>
      <c r="DS21" s="296">
        <f t="shared" si="46"/>
        <v>0</v>
      </c>
      <c r="DT21" s="296">
        <f t="shared" si="46"/>
        <v>0</v>
      </c>
      <c r="DU21" s="296">
        <f t="shared" si="46"/>
        <v>0</v>
      </c>
      <c r="DV21" s="296">
        <f t="shared" si="46"/>
        <v>0</v>
      </c>
      <c r="DW21" s="296">
        <f t="shared" si="46"/>
        <v>0</v>
      </c>
      <c r="DX21" s="296">
        <f t="shared" si="46"/>
        <v>0</v>
      </c>
      <c r="DY21" s="296">
        <f t="shared" si="46"/>
        <v>0</v>
      </c>
      <c r="DZ21" s="296"/>
      <c r="EA21" s="296">
        <f t="shared" si="47"/>
        <v>0</v>
      </c>
      <c r="EB21" s="296">
        <f t="shared" si="47"/>
        <v>0</v>
      </c>
      <c r="EC21" s="296">
        <f t="shared" si="47"/>
        <v>0</v>
      </c>
      <c r="ED21" s="296">
        <f t="shared" si="47"/>
        <v>0</v>
      </c>
      <c r="EE21" s="296">
        <f t="shared" si="47"/>
        <v>0</v>
      </c>
      <c r="EF21" s="296">
        <f t="shared" si="47"/>
        <v>0</v>
      </c>
      <c r="EG21" s="296">
        <f t="shared" si="47"/>
        <v>0</v>
      </c>
      <c r="EH21" s="296">
        <f t="shared" si="47"/>
        <v>0</v>
      </c>
      <c r="EI21" s="296">
        <f t="shared" si="47"/>
        <v>0</v>
      </c>
      <c r="EJ21" s="296">
        <f t="shared" si="47"/>
        <v>0</v>
      </c>
      <c r="EK21" s="296">
        <f t="shared" si="47"/>
        <v>0</v>
      </c>
      <c r="EL21" s="296">
        <f t="shared" si="47"/>
        <v>0</v>
      </c>
      <c r="EM21" s="296">
        <f t="shared" si="47"/>
        <v>0</v>
      </c>
      <c r="EN21" s="296"/>
    </row>
    <row r="22" spans="2:144" s="289" customFormat="1" ht="18.95" customHeight="1">
      <c r="B22" s="290"/>
      <c r="C22" s="291"/>
      <c r="D22" s="291"/>
      <c r="E22" s="291"/>
      <c r="F22" s="248">
        <v>6300</v>
      </c>
      <c r="G22" s="246" t="s">
        <v>67</v>
      </c>
      <c r="H22" s="293"/>
      <c r="I22" s="293"/>
      <c r="J22" s="291"/>
      <c r="K22" s="291"/>
      <c r="L22" s="294"/>
      <c r="M22" s="293"/>
      <c r="N22" s="295"/>
      <c r="O22" s="293"/>
      <c r="P22" s="293"/>
      <c r="Q22" s="293"/>
      <c r="R22" s="296"/>
      <c r="S22" s="296">
        <f t="shared" si="39"/>
        <v>0</v>
      </c>
      <c r="T22" s="296">
        <f t="shared" si="39"/>
        <v>0</v>
      </c>
      <c r="U22" s="296">
        <f t="shared" si="39"/>
        <v>0</v>
      </c>
      <c r="V22" s="296">
        <f t="shared" si="39"/>
        <v>0</v>
      </c>
      <c r="W22" s="296">
        <f t="shared" si="39"/>
        <v>0</v>
      </c>
      <c r="X22" s="296">
        <f t="shared" si="39"/>
        <v>0</v>
      </c>
      <c r="Y22" s="296">
        <f t="shared" si="39"/>
        <v>0</v>
      </c>
      <c r="Z22" s="296">
        <f t="shared" si="39"/>
        <v>0</v>
      </c>
      <c r="AA22" s="296">
        <f t="shared" si="39"/>
        <v>0</v>
      </c>
      <c r="AB22" s="296">
        <f t="shared" si="39"/>
        <v>0</v>
      </c>
      <c r="AC22" s="296">
        <f t="shared" si="39"/>
        <v>0</v>
      </c>
      <c r="AD22" s="296">
        <f t="shared" si="39"/>
        <v>0</v>
      </c>
      <c r="AE22" s="296">
        <f t="shared" si="39"/>
        <v>0</v>
      </c>
      <c r="AF22" s="296"/>
      <c r="AG22" s="296">
        <f t="shared" si="40"/>
        <v>0</v>
      </c>
      <c r="AH22" s="296">
        <f t="shared" si="40"/>
        <v>0</v>
      </c>
      <c r="AI22" s="296">
        <f t="shared" si="40"/>
        <v>0</v>
      </c>
      <c r="AJ22" s="296">
        <f t="shared" si="40"/>
        <v>0</v>
      </c>
      <c r="AK22" s="296">
        <f t="shared" si="40"/>
        <v>0</v>
      </c>
      <c r="AL22" s="296">
        <f t="shared" si="40"/>
        <v>0</v>
      </c>
      <c r="AM22" s="296">
        <f t="shared" si="40"/>
        <v>0</v>
      </c>
      <c r="AN22" s="296">
        <f t="shared" si="40"/>
        <v>0</v>
      </c>
      <c r="AO22" s="296">
        <f t="shared" si="40"/>
        <v>0</v>
      </c>
      <c r="AP22" s="296">
        <f t="shared" si="40"/>
        <v>0</v>
      </c>
      <c r="AQ22" s="296">
        <f t="shared" si="40"/>
        <v>0</v>
      </c>
      <c r="AR22" s="296">
        <f t="shared" si="40"/>
        <v>0</v>
      </c>
      <c r="AS22" s="296">
        <f t="shared" si="40"/>
        <v>0</v>
      </c>
      <c r="AT22" s="296"/>
      <c r="AU22" s="296">
        <f t="shared" si="41"/>
        <v>0</v>
      </c>
      <c r="AV22" s="296">
        <f t="shared" si="41"/>
        <v>0</v>
      </c>
      <c r="AW22" s="296">
        <f t="shared" si="41"/>
        <v>0</v>
      </c>
      <c r="AX22" s="296">
        <f t="shared" si="41"/>
        <v>0</v>
      </c>
      <c r="AY22" s="296">
        <f t="shared" si="41"/>
        <v>0</v>
      </c>
      <c r="AZ22" s="296">
        <f t="shared" si="41"/>
        <v>0</v>
      </c>
      <c r="BA22" s="296">
        <f t="shared" si="41"/>
        <v>0</v>
      </c>
      <c r="BB22" s="296">
        <f t="shared" si="41"/>
        <v>0</v>
      </c>
      <c r="BC22" s="296">
        <f t="shared" si="41"/>
        <v>0</v>
      </c>
      <c r="BD22" s="296">
        <f t="shared" si="41"/>
        <v>0</v>
      </c>
      <c r="BE22" s="296">
        <f t="shared" si="41"/>
        <v>0</v>
      </c>
      <c r="BF22" s="296">
        <f t="shared" si="41"/>
        <v>0</v>
      </c>
      <c r="BG22" s="296">
        <f t="shared" si="41"/>
        <v>0</v>
      </c>
      <c r="BH22" s="296"/>
      <c r="BI22" s="296">
        <f t="shared" si="42"/>
        <v>0</v>
      </c>
      <c r="BJ22" s="296">
        <f t="shared" si="42"/>
        <v>0</v>
      </c>
      <c r="BK22" s="296">
        <f t="shared" si="42"/>
        <v>0</v>
      </c>
      <c r="BL22" s="296">
        <f t="shared" si="42"/>
        <v>0</v>
      </c>
      <c r="BM22" s="296">
        <f t="shared" si="42"/>
        <v>0</v>
      </c>
      <c r="BN22" s="296">
        <f t="shared" si="42"/>
        <v>0</v>
      </c>
      <c r="BO22" s="296">
        <f t="shared" si="42"/>
        <v>0</v>
      </c>
      <c r="BP22" s="296">
        <f t="shared" si="42"/>
        <v>0</v>
      </c>
      <c r="BQ22" s="296">
        <f t="shared" si="42"/>
        <v>0</v>
      </c>
      <c r="BR22" s="296">
        <f t="shared" si="42"/>
        <v>0</v>
      </c>
      <c r="BS22" s="296">
        <f t="shared" si="42"/>
        <v>0</v>
      </c>
      <c r="BT22" s="296">
        <f t="shared" si="42"/>
        <v>0</v>
      </c>
      <c r="BU22" s="296">
        <f t="shared" si="42"/>
        <v>0</v>
      </c>
      <c r="BV22" s="296"/>
      <c r="BW22" s="296">
        <f t="shared" si="43"/>
        <v>0</v>
      </c>
      <c r="BX22" s="296">
        <f t="shared" si="43"/>
        <v>0</v>
      </c>
      <c r="BY22" s="296">
        <f t="shared" si="43"/>
        <v>0</v>
      </c>
      <c r="BZ22" s="296">
        <f t="shared" si="43"/>
        <v>0</v>
      </c>
      <c r="CA22" s="296">
        <f t="shared" si="43"/>
        <v>0</v>
      </c>
      <c r="CB22" s="296">
        <f t="shared" si="43"/>
        <v>0</v>
      </c>
      <c r="CC22" s="296">
        <f t="shared" si="43"/>
        <v>0</v>
      </c>
      <c r="CD22" s="296">
        <f t="shared" si="43"/>
        <v>0</v>
      </c>
      <c r="CE22" s="296">
        <f t="shared" si="43"/>
        <v>0</v>
      </c>
      <c r="CF22" s="296">
        <f t="shared" si="43"/>
        <v>0</v>
      </c>
      <c r="CG22" s="296">
        <f t="shared" si="43"/>
        <v>0</v>
      </c>
      <c r="CH22" s="296">
        <f t="shared" si="43"/>
        <v>0</v>
      </c>
      <c r="CI22" s="296">
        <f t="shared" si="43"/>
        <v>0</v>
      </c>
      <c r="CJ22" s="296"/>
      <c r="CK22" s="296">
        <f t="shared" si="44"/>
        <v>0</v>
      </c>
      <c r="CL22" s="296">
        <f t="shared" si="44"/>
        <v>0</v>
      </c>
      <c r="CM22" s="296">
        <f t="shared" si="44"/>
        <v>0</v>
      </c>
      <c r="CN22" s="296">
        <f t="shared" si="44"/>
        <v>0</v>
      </c>
      <c r="CO22" s="296">
        <f t="shared" si="44"/>
        <v>0</v>
      </c>
      <c r="CP22" s="296">
        <f t="shared" si="44"/>
        <v>0</v>
      </c>
      <c r="CQ22" s="296">
        <f t="shared" si="44"/>
        <v>0</v>
      </c>
      <c r="CR22" s="296">
        <f t="shared" si="44"/>
        <v>0</v>
      </c>
      <c r="CS22" s="296">
        <f t="shared" si="44"/>
        <v>0</v>
      </c>
      <c r="CT22" s="296">
        <f t="shared" si="44"/>
        <v>0</v>
      </c>
      <c r="CU22" s="296">
        <f t="shared" si="44"/>
        <v>0</v>
      </c>
      <c r="CV22" s="296">
        <f t="shared" si="44"/>
        <v>0</v>
      </c>
      <c r="CW22" s="296">
        <f t="shared" si="44"/>
        <v>0</v>
      </c>
      <c r="CX22" s="296"/>
      <c r="CY22" s="296">
        <f t="shared" si="45"/>
        <v>0</v>
      </c>
      <c r="CZ22" s="296">
        <f t="shared" si="45"/>
        <v>0</v>
      </c>
      <c r="DA22" s="296">
        <f t="shared" si="45"/>
        <v>0</v>
      </c>
      <c r="DB22" s="296">
        <f t="shared" si="45"/>
        <v>0</v>
      </c>
      <c r="DC22" s="296">
        <f t="shared" si="45"/>
        <v>0</v>
      </c>
      <c r="DD22" s="296">
        <f t="shared" si="45"/>
        <v>0</v>
      </c>
      <c r="DE22" s="296">
        <f t="shared" si="45"/>
        <v>0</v>
      </c>
      <c r="DF22" s="296">
        <f t="shared" si="45"/>
        <v>0</v>
      </c>
      <c r="DG22" s="296">
        <f t="shared" si="45"/>
        <v>0</v>
      </c>
      <c r="DH22" s="296">
        <f t="shared" si="45"/>
        <v>0</v>
      </c>
      <c r="DI22" s="296">
        <f t="shared" si="45"/>
        <v>0</v>
      </c>
      <c r="DJ22" s="296">
        <f t="shared" si="45"/>
        <v>0</v>
      </c>
      <c r="DK22" s="296">
        <f t="shared" si="45"/>
        <v>0</v>
      </c>
      <c r="DL22" s="296"/>
      <c r="DM22" s="296">
        <f t="shared" si="46"/>
        <v>0</v>
      </c>
      <c r="DN22" s="296">
        <f t="shared" si="46"/>
        <v>0</v>
      </c>
      <c r="DO22" s="296">
        <f t="shared" si="46"/>
        <v>0</v>
      </c>
      <c r="DP22" s="296">
        <f t="shared" si="46"/>
        <v>0</v>
      </c>
      <c r="DQ22" s="296">
        <f t="shared" si="46"/>
        <v>0</v>
      </c>
      <c r="DR22" s="296">
        <f t="shared" si="46"/>
        <v>0</v>
      </c>
      <c r="DS22" s="296">
        <f t="shared" si="46"/>
        <v>0</v>
      </c>
      <c r="DT22" s="296">
        <f t="shared" si="46"/>
        <v>0</v>
      </c>
      <c r="DU22" s="296">
        <f t="shared" si="46"/>
        <v>0</v>
      </c>
      <c r="DV22" s="296">
        <f t="shared" si="46"/>
        <v>0</v>
      </c>
      <c r="DW22" s="296">
        <f t="shared" si="46"/>
        <v>0</v>
      </c>
      <c r="DX22" s="296">
        <f t="shared" si="46"/>
        <v>0</v>
      </c>
      <c r="DY22" s="296">
        <f t="shared" si="46"/>
        <v>0</v>
      </c>
      <c r="DZ22" s="296"/>
      <c r="EA22" s="296">
        <f t="shared" si="47"/>
        <v>0</v>
      </c>
      <c r="EB22" s="296">
        <f t="shared" si="47"/>
        <v>0</v>
      </c>
      <c r="EC22" s="296">
        <f t="shared" si="47"/>
        <v>0</v>
      </c>
      <c r="ED22" s="296">
        <f t="shared" si="47"/>
        <v>0</v>
      </c>
      <c r="EE22" s="296">
        <f t="shared" si="47"/>
        <v>0</v>
      </c>
      <c r="EF22" s="296">
        <f t="shared" si="47"/>
        <v>0</v>
      </c>
      <c r="EG22" s="296">
        <f t="shared" si="47"/>
        <v>0</v>
      </c>
      <c r="EH22" s="296">
        <f t="shared" si="47"/>
        <v>0</v>
      </c>
      <c r="EI22" s="296">
        <f t="shared" si="47"/>
        <v>0</v>
      </c>
      <c r="EJ22" s="296">
        <f t="shared" si="47"/>
        <v>0</v>
      </c>
      <c r="EK22" s="296">
        <f t="shared" si="47"/>
        <v>0</v>
      </c>
      <c r="EL22" s="296">
        <f t="shared" si="47"/>
        <v>0</v>
      </c>
      <c r="EM22" s="296">
        <f t="shared" si="47"/>
        <v>0</v>
      </c>
      <c r="EN22" s="296"/>
    </row>
    <row r="23" spans="2:144" s="289" customFormat="1" ht="18.95" customHeight="1">
      <c r="B23" s="290"/>
      <c r="C23" s="291"/>
      <c r="D23" s="291"/>
      <c r="E23" s="291"/>
      <c r="F23" s="248">
        <v>6400</v>
      </c>
      <c r="G23" s="246" t="s">
        <v>68</v>
      </c>
      <c r="H23" s="293"/>
      <c r="I23" s="293"/>
      <c r="J23" s="291"/>
      <c r="K23" s="291"/>
      <c r="L23" s="294"/>
      <c r="M23" s="293"/>
      <c r="N23" s="295"/>
      <c r="O23" s="293"/>
      <c r="P23" s="293"/>
      <c r="Q23" s="293"/>
      <c r="R23" s="296"/>
      <c r="S23" s="296">
        <f t="shared" ref="S23:AE33" si="48">SUMIF($F$6:$F$9,$F23,S$6:S$9)</f>
        <v>0</v>
      </c>
      <c r="T23" s="296">
        <f t="shared" si="48"/>
        <v>0</v>
      </c>
      <c r="U23" s="296">
        <f t="shared" si="48"/>
        <v>0</v>
      </c>
      <c r="V23" s="296">
        <f t="shared" si="48"/>
        <v>0</v>
      </c>
      <c r="W23" s="296">
        <f t="shared" si="48"/>
        <v>0</v>
      </c>
      <c r="X23" s="296">
        <f t="shared" si="48"/>
        <v>0</v>
      </c>
      <c r="Y23" s="296">
        <f t="shared" si="48"/>
        <v>0</v>
      </c>
      <c r="Z23" s="296">
        <f t="shared" si="48"/>
        <v>0</v>
      </c>
      <c r="AA23" s="296">
        <f t="shared" si="48"/>
        <v>0</v>
      </c>
      <c r="AB23" s="296">
        <f t="shared" si="48"/>
        <v>0</v>
      </c>
      <c r="AC23" s="296">
        <f t="shared" si="48"/>
        <v>0</v>
      </c>
      <c r="AD23" s="296">
        <f t="shared" si="48"/>
        <v>0</v>
      </c>
      <c r="AE23" s="296">
        <f t="shared" si="48"/>
        <v>0</v>
      </c>
      <c r="AF23" s="296"/>
      <c r="AG23" s="296">
        <f t="shared" ref="AG23:AS33" si="49">SUMIF($F$6:$F$9,$F23,AG$6:AG$9)</f>
        <v>0</v>
      </c>
      <c r="AH23" s="296">
        <f t="shared" si="49"/>
        <v>0</v>
      </c>
      <c r="AI23" s="296">
        <f t="shared" si="49"/>
        <v>0</v>
      </c>
      <c r="AJ23" s="296">
        <f t="shared" si="49"/>
        <v>0</v>
      </c>
      <c r="AK23" s="296">
        <f t="shared" si="49"/>
        <v>0</v>
      </c>
      <c r="AL23" s="296">
        <f t="shared" si="49"/>
        <v>0</v>
      </c>
      <c r="AM23" s="296">
        <f t="shared" si="49"/>
        <v>0</v>
      </c>
      <c r="AN23" s="296">
        <f t="shared" si="49"/>
        <v>0</v>
      </c>
      <c r="AO23" s="296">
        <f t="shared" si="49"/>
        <v>0</v>
      </c>
      <c r="AP23" s="296">
        <f t="shared" si="49"/>
        <v>0</v>
      </c>
      <c r="AQ23" s="296">
        <f t="shared" si="49"/>
        <v>0</v>
      </c>
      <c r="AR23" s="296">
        <f t="shared" si="49"/>
        <v>0</v>
      </c>
      <c r="AS23" s="296">
        <f t="shared" si="49"/>
        <v>0</v>
      </c>
      <c r="AT23" s="296"/>
      <c r="AU23" s="296">
        <f t="shared" ref="AU23:BG33" si="50">SUMIF($F$6:$F$9,$F23,AU$6:AU$9)</f>
        <v>0</v>
      </c>
      <c r="AV23" s="296">
        <f t="shared" si="50"/>
        <v>0</v>
      </c>
      <c r="AW23" s="296">
        <f t="shared" si="50"/>
        <v>0</v>
      </c>
      <c r="AX23" s="296">
        <f t="shared" si="50"/>
        <v>0</v>
      </c>
      <c r="AY23" s="296">
        <f t="shared" si="50"/>
        <v>0</v>
      </c>
      <c r="AZ23" s="296">
        <f t="shared" si="50"/>
        <v>0</v>
      </c>
      <c r="BA23" s="296">
        <f t="shared" si="50"/>
        <v>0</v>
      </c>
      <c r="BB23" s="296">
        <f t="shared" si="50"/>
        <v>0</v>
      </c>
      <c r="BC23" s="296">
        <f t="shared" si="50"/>
        <v>0</v>
      </c>
      <c r="BD23" s="296">
        <f t="shared" si="50"/>
        <v>0</v>
      </c>
      <c r="BE23" s="296">
        <f t="shared" si="50"/>
        <v>0</v>
      </c>
      <c r="BF23" s="296">
        <f t="shared" si="50"/>
        <v>0</v>
      </c>
      <c r="BG23" s="296">
        <f t="shared" si="50"/>
        <v>0</v>
      </c>
      <c r="BH23" s="296"/>
      <c r="BI23" s="296">
        <f t="shared" ref="BI23:BU33" si="51">SUMIF($F$6:$F$9,$F23,BI$6:BI$9)</f>
        <v>0</v>
      </c>
      <c r="BJ23" s="296">
        <f t="shared" si="51"/>
        <v>0</v>
      </c>
      <c r="BK23" s="296">
        <f t="shared" si="51"/>
        <v>0</v>
      </c>
      <c r="BL23" s="296">
        <f t="shared" si="51"/>
        <v>0</v>
      </c>
      <c r="BM23" s="296">
        <f t="shared" si="51"/>
        <v>0</v>
      </c>
      <c r="BN23" s="296">
        <f t="shared" si="51"/>
        <v>0</v>
      </c>
      <c r="BO23" s="296">
        <f t="shared" si="51"/>
        <v>0</v>
      </c>
      <c r="BP23" s="296">
        <f t="shared" si="51"/>
        <v>0</v>
      </c>
      <c r="BQ23" s="296">
        <f t="shared" si="51"/>
        <v>0</v>
      </c>
      <c r="BR23" s="296">
        <f t="shared" si="51"/>
        <v>0</v>
      </c>
      <c r="BS23" s="296">
        <f t="shared" si="51"/>
        <v>0</v>
      </c>
      <c r="BT23" s="296">
        <f t="shared" si="51"/>
        <v>0</v>
      </c>
      <c r="BU23" s="296">
        <f t="shared" si="51"/>
        <v>0</v>
      </c>
      <c r="BV23" s="296"/>
      <c r="BW23" s="296">
        <f t="shared" ref="BW23:CI33" si="52">SUMIF($F$6:$F$9,$F23,BW$6:BW$9)</f>
        <v>0</v>
      </c>
      <c r="BX23" s="296">
        <f t="shared" si="52"/>
        <v>0</v>
      </c>
      <c r="BY23" s="296">
        <f t="shared" si="52"/>
        <v>0</v>
      </c>
      <c r="BZ23" s="296">
        <f t="shared" si="52"/>
        <v>0</v>
      </c>
      <c r="CA23" s="296">
        <f t="shared" si="52"/>
        <v>0</v>
      </c>
      <c r="CB23" s="296">
        <f t="shared" si="52"/>
        <v>0</v>
      </c>
      <c r="CC23" s="296">
        <f t="shared" si="52"/>
        <v>0</v>
      </c>
      <c r="CD23" s="296">
        <f t="shared" si="52"/>
        <v>0</v>
      </c>
      <c r="CE23" s="296">
        <f t="shared" si="52"/>
        <v>0</v>
      </c>
      <c r="CF23" s="296">
        <f t="shared" si="52"/>
        <v>0</v>
      </c>
      <c r="CG23" s="296">
        <f t="shared" si="52"/>
        <v>0</v>
      </c>
      <c r="CH23" s="296">
        <f t="shared" si="52"/>
        <v>0</v>
      </c>
      <c r="CI23" s="296">
        <f t="shared" si="52"/>
        <v>0</v>
      </c>
      <c r="CJ23" s="296"/>
      <c r="CK23" s="296">
        <f t="shared" ref="CK23:CW33" si="53">SUMIF($F$6:$F$9,$F23,CK$6:CK$9)</f>
        <v>0</v>
      </c>
      <c r="CL23" s="296">
        <f t="shared" si="53"/>
        <v>0</v>
      </c>
      <c r="CM23" s="296">
        <f t="shared" si="53"/>
        <v>0</v>
      </c>
      <c r="CN23" s="296">
        <f t="shared" si="53"/>
        <v>0</v>
      </c>
      <c r="CO23" s="296">
        <f t="shared" si="53"/>
        <v>0</v>
      </c>
      <c r="CP23" s="296">
        <f t="shared" si="53"/>
        <v>0</v>
      </c>
      <c r="CQ23" s="296">
        <f t="shared" si="53"/>
        <v>0</v>
      </c>
      <c r="CR23" s="296">
        <f t="shared" si="53"/>
        <v>0</v>
      </c>
      <c r="CS23" s="296">
        <f t="shared" si="53"/>
        <v>0</v>
      </c>
      <c r="CT23" s="296">
        <f t="shared" si="53"/>
        <v>0</v>
      </c>
      <c r="CU23" s="296">
        <f t="shared" si="53"/>
        <v>0</v>
      </c>
      <c r="CV23" s="296">
        <f t="shared" si="53"/>
        <v>0</v>
      </c>
      <c r="CW23" s="296">
        <f t="shared" si="53"/>
        <v>0</v>
      </c>
      <c r="CX23" s="296"/>
      <c r="CY23" s="296">
        <f t="shared" ref="CY23:DK33" si="54">SUMIF($F$6:$F$9,$F23,CY$6:CY$9)</f>
        <v>0</v>
      </c>
      <c r="CZ23" s="296">
        <f t="shared" si="54"/>
        <v>0</v>
      </c>
      <c r="DA23" s="296">
        <f t="shared" si="54"/>
        <v>0</v>
      </c>
      <c r="DB23" s="296">
        <f t="shared" si="54"/>
        <v>0</v>
      </c>
      <c r="DC23" s="296">
        <f t="shared" si="54"/>
        <v>0</v>
      </c>
      <c r="DD23" s="296">
        <f t="shared" si="54"/>
        <v>0</v>
      </c>
      <c r="DE23" s="296">
        <f t="shared" si="54"/>
        <v>0</v>
      </c>
      <c r="DF23" s="296">
        <f t="shared" si="54"/>
        <v>0</v>
      </c>
      <c r="DG23" s="296">
        <f t="shared" si="54"/>
        <v>0</v>
      </c>
      <c r="DH23" s="296">
        <f t="shared" si="54"/>
        <v>0</v>
      </c>
      <c r="DI23" s="296">
        <f t="shared" si="54"/>
        <v>0</v>
      </c>
      <c r="DJ23" s="296">
        <f t="shared" si="54"/>
        <v>0</v>
      </c>
      <c r="DK23" s="296">
        <f t="shared" si="54"/>
        <v>0</v>
      </c>
      <c r="DL23" s="296"/>
      <c r="DM23" s="296">
        <f t="shared" ref="DM23:DY33" si="55">SUMIF($F$6:$F$9,$F23,DM$6:DM$9)</f>
        <v>0</v>
      </c>
      <c r="DN23" s="296">
        <f t="shared" si="55"/>
        <v>0</v>
      </c>
      <c r="DO23" s="296">
        <f t="shared" si="55"/>
        <v>0</v>
      </c>
      <c r="DP23" s="296">
        <f t="shared" si="55"/>
        <v>0</v>
      </c>
      <c r="DQ23" s="296">
        <f t="shared" si="55"/>
        <v>0</v>
      </c>
      <c r="DR23" s="296">
        <f t="shared" si="55"/>
        <v>0</v>
      </c>
      <c r="DS23" s="296">
        <f t="shared" si="55"/>
        <v>0</v>
      </c>
      <c r="DT23" s="296">
        <f t="shared" si="55"/>
        <v>0</v>
      </c>
      <c r="DU23" s="296">
        <f t="shared" si="55"/>
        <v>0</v>
      </c>
      <c r="DV23" s="296">
        <f t="shared" si="55"/>
        <v>0</v>
      </c>
      <c r="DW23" s="296">
        <f t="shared" si="55"/>
        <v>0</v>
      </c>
      <c r="DX23" s="296">
        <f t="shared" si="55"/>
        <v>0</v>
      </c>
      <c r="DY23" s="296">
        <f t="shared" si="55"/>
        <v>0</v>
      </c>
      <c r="DZ23" s="296"/>
      <c r="EA23" s="296">
        <f t="shared" ref="EA23:EM33" si="56">SUMIF($F$6:$F$9,$F23,EA$6:EA$9)</f>
        <v>0</v>
      </c>
      <c r="EB23" s="296">
        <f t="shared" si="56"/>
        <v>0</v>
      </c>
      <c r="EC23" s="296">
        <f t="shared" si="56"/>
        <v>0</v>
      </c>
      <c r="ED23" s="296">
        <f t="shared" si="56"/>
        <v>0</v>
      </c>
      <c r="EE23" s="296">
        <f t="shared" si="56"/>
        <v>0</v>
      </c>
      <c r="EF23" s="296">
        <f t="shared" si="56"/>
        <v>0</v>
      </c>
      <c r="EG23" s="296">
        <f t="shared" si="56"/>
        <v>0</v>
      </c>
      <c r="EH23" s="296">
        <f t="shared" si="56"/>
        <v>0</v>
      </c>
      <c r="EI23" s="296">
        <f t="shared" si="56"/>
        <v>0</v>
      </c>
      <c r="EJ23" s="296">
        <f t="shared" si="56"/>
        <v>0</v>
      </c>
      <c r="EK23" s="296">
        <f t="shared" si="56"/>
        <v>0</v>
      </c>
      <c r="EL23" s="296">
        <f t="shared" si="56"/>
        <v>0</v>
      </c>
      <c r="EM23" s="296">
        <f t="shared" si="56"/>
        <v>0</v>
      </c>
      <c r="EN23" s="296"/>
    </row>
    <row r="24" spans="2:144" s="289" customFormat="1" ht="18.95" customHeight="1">
      <c r="B24" s="290"/>
      <c r="C24" s="291"/>
      <c r="D24" s="291"/>
      <c r="E24" s="291"/>
      <c r="F24" s="248">
        <v>6500</v>
      </c>
      <c r="G24" s="246" t="s">
        <v>69</v>
      </c>
      <c r="H24" s="293"/>
      <c r="I24" s="293"/>
      <c r="J24" s="291"/>
      <c r="K24" s="291"/>
      <c r="L24" s="294"/>
      <c r="M24" s="293"/>
      <c r="N24" s="295"/>
      <c r="O24" s="293"/>
      <c r="P24" s="293"/>
      <c r="Q24" s="293"/>
      <c r="R24" s="296"/>
      <c r="S24" s="296">
        <f t="shared" si="48"/>
        <v>0</v>
      </c>
      <c r="T24" s="296">
        <f t="shared" si="48"/>
        <v>0</v>
      </c>
      <c r="U24" s="296">
        <f t="shared" si="48"/>
        <v>0</v>
      </c>
      <c r="V24" s="296">
        <f t="shared" si="48"/>
        <v>0</v>
      </c>
      <c r="W24" s="296">
        <f t="shared" si="48"/>
        <v>0</v>
      </c>
      <c r="X24" s="296">
        <f t="shared" si="48"/>
        <v>0</v>
      </c>
      <c r="Y24" s="296">
        <f t="shared" si="48"/>
        <v>0</v>
      </c>
      <c r="Z24" s="296">
        <f t="shared" si="48"/>
        <v>0</v>
      </c>
      <c r="AA24" s="296">
        <f t="shared" si="48"/>
        <v>0</v>
      </c>
      <c r="AB24" s="296">
        <f t="shared" si="48"/>
        <v>0</v>
      </c>
      <c r="AC24" s="296">
        <f t="shared" si="48"/>
        <v>0</v>
      </c>
      <c r="AD24" s="296">
        <f t="shared" si="48"/>
        <v>0</v>
      </c>
      <c r="AE24" s="296">
        <f t="shared" si="48"/>
        <v>0</v>
      </c>
      <c r="AF24" s="296"/>
      <c r="AG24" s="296">
        <f t="shared" si="49"/>
        <v>0</v>
      </c>
      <c r="AH24" s="296">
        <f t="shared" si="49"/>
        <v>0</v>
      </c>
      <c r="AI24" s="296">
        <f t="shared" si="49"/>
        <v>0</v>
      </c>
      <c r="AJ24" s="296">
        <f t="shared" si="49"/>
        <v>0</v>
      </c>
      <c r="AK24" s="296">
        <f t="shared" si="49"/>
        <v>0</v>
      </c>
      <c r="AL24" s="296">
        <f t="shared" si="49"/>
        <v>0</v>
      </c>
      <c r="AM24" s="296">
        <f t="shared" si="49"/>
        <v>0</v>
      </c>
      <c r="AN24" s="296">
        <f t="shared" si="49"/>
        <v>0</v>
      </c>
      <c r="AO24" s="296">
        <f t="shared" si="49"/>
        <v>0</v>
      </c>
      <c r="AP24" s="296">
        <f t="shared" si="49"/>
        <v>0</v>
      </c>
      <c r="AQ24" s="296">
        <f t="shared" si="49"/>
        <v>0</v>
      </c>
      <c r="AR24" s="296">
        <f t="shared" si="49"/>
        <v>0</v>
      </c>
      <c r="AS24" s="296">
        <f t="shared" si="49"/>
        <v>0</v>
      </c>
      <c r="AT24" s="296"/>
      <c r="AU24" s="296">
        <f t="shared" si="50"/>
        <v>0</v>
      </c>
      <c r="AV24" s="296">
        <f t="shared" si="50"/>
        <v>0</v>
      </c>
      <c r="AW24" s="296">
        <f t="shared" si="50"/>
        <v>0</v>
      </c>
      <c r="AX24" s="296">
        <f t="shared" si="50"/>
        <v>0</v>
      </c>
      <c r="AY24" s="296">
        <f t="shared" si="50"/>
        <v>0</v>
      </c>
      <c r="AZ24" s="296">
        <f t="shared" si="50"/>
        <v>0</v>
      </c>
      <c r="BA24" s="296">
        <f t="shared" si="50"/>
        <v>0</v>
      </c>
      <c r="BB24" s="296">
        <f t="shared" si="50"/>
        <v>0</v>
      </c>
      <c r="BC24" s="296">
        <f t="shared" si="50"/>
        <v>0</v>
      </c>
      <c r="BD24" s="296">
        <f t="shared" si="50"/>
        <v>0</v>
      </c>
      <c r="BE24" s="296">
        <f t="shared" si="50"/>
        <v>0</v>
      </c>
      <c r="BF24" s="296">
        <f t="shared" si="50"/>
        <v>0</v>
      </c>
      <c r="BG24" s="296">
        <f t="shared" si="50"/>
        <v>0</v>
      </c>
      <c r="BH24" s="296"/>
      <c r="BI24" s="296">
        <f t="shared" si="51"/>
        <v>0</v>
      </c>
      <c r="BJ24" s="296">
        <f t="shared" si="51"/>
        <v>0</v>
      </c>
      <c r="BK24" s="296">
        <f t="shared" si="51"/>
        <v>0</v>
      </c>
      <c r="BL24" s="296">
        <f t="shared" si="51"/>
        <v>0</v>
      </c>
      <c r="BM24" s="296">
        <f t="shared" si="51"/>
        <v>0</v>
      </c>
      <c r="BN24" s="296">
        <f t="shared" si="51"/>
        <v>0</v>
      </c>
      <c r="BO24" s="296">
        <f t="shared" si="51"/>
        <v>0</v>
      </c>
      <c r="BP24" s="296">
        <f t="shared" si="51"/>
        <v>0</v>
      </c>
      <c r="BQ24" s="296">
        <f t="shared" si="51"/>
        <v>0</v>
      </c>
      <c r="BR24" s="296">
        <f t="shared" si="51"/>
        <v>0</v>
      </c>
      <c r="BS24" s="296">
        <f t="shared" si="51"/>
        <v>0</v>
      </c>
      <c r="BT24" s="296">
        <f t="shared" si="51"/>
        <v>0</v>
      </c>
      <c r="BU24" s="296">
        <f t="shared" si="51"/>
        <v>0</v>
      </c>
      <c r="BV24" s="296"/>
      <c r="BW24" s="296">
        <f t="shared" si="52"/>
        <v>0</v>
      </c>
      <c r="BX24" s="296">
        <f t="shared" si="52"/>
        <v>0</v>
      </c>
      <c r="BY24" s="296">
        <f t="shared" si="52"/>
        <v>0</v>
      </c>
      <c r="BZ24" s="296">
        <f t="shared" si="52"/>
        <v>0</v>
      </c>
      <c r="CA24" s="296">
        <f t="shared" si="52"/>
        <v>0</v>
      </c>
      <c r="CB24" s="296">
        <f t="shared" si="52"/>
        <v>0</v>
      </c>
      <c r="CC24" s="296">
        <f t="shared" si="52"/>
        <v>0</v>
      </c>
      <c r="CD24" s="296">
        <f t="shared" si="52"/>
        <v>0</v>
      </c>
      <c r="CE24" s="296">
        <f t="shared" si="52"/>
        <v>0</v>
      </c>
      <c r="CF24" s="296">
        <f t="shared" si="52"/>
        <v>0</v>
      </c>
      <c r="CG24" s="296">
        <f t="shared" si="52"/>
        <v>0</v>
      </c>
      <c r="CH24" s="296">
        <f t="shared" si="52"/>
        <v>0</v>
      </c>
      <c r="CI24" s="296">
        <f t="shared" si="52"/>
        <v>0</v>
      </c>
      <c r="CJ24" s="296"/>
      <c r="CK24" s="296">
        <f t="shared" si="53"/>
        <v>0</v>
      </c>
      <c r="CL24" s="296">
        <f t="shared" si="53"/>
        <v>0</v>
      </c>
      <c r="CM24" s="296">
        <f t="shared" si="53"/>
        <v>0</v>
      </c>
      <c r="CN24" s="296">
        <f t="shared" si="53"/>
        <v>0</v>
      </c>
      <c r="CO24" s="296">
        <f t="shared" si="53"/>
        <v>0</v>
      </c>
      <c r="CP24" s="296">
        <f t="shared" si="53"/>
        <v>0</v>
      </c>
      <c r="CQ24" s="296">
        <f t="shared" si="53"/>
        <v>0</v>
      </c>
      <c r="CR24" s="296">
        <f t="shared" si="53"/>
        <v>0</v>
      </c>
      <c r="CS24" s="296">
        <f t="shared" si="53"/>
        <v>0</v>
      </c>
      <c r="CT24" s="296">
        <f t="shared" si="53"/>
        <v>0</v>
      </c>
      <c r="CU24" s="296">
        <f t="shared" si="53"/>
        <v>0</v>
      </c>
      <c r="CV24" s="296">
        <f t="shared" si="53"/>
        <v>0</v>
      </c>
      <c r="CW24" s="296">
        <f t="shared" si="53"/>
        <v>0</v>
      </c>
      <c r="CX24" s="296"/>
      <c r="CY24" s="296">
        <f t="shared" si="54"/>
        <v>0</v>
      </c>
      <c r="CZ24" s="296">
        <f t="shared" si="54"/>
        <v>0</v>
      </c>
      <c r="DA24" s="296">
        <f t="shared" si="54"/>
        <v>0</v>
      </c>
      <c r="DB24" s="296">
        <f t="shared" si="54"/>
        <v>0</v>
      </c>
      <c r="DC24" s="296">
        <f t="shared" si="54"/>
        <v>0</v>
      </c>
      <c r="DD24" s="296">
        <f t="shared" si="54"/>
        <v>0</v>
      </c>
      <c r="DE24" s="296">
        <f t="shared" si="54"/>
        <v>0</v>
      </c>
      <c r="DF24" s="296">
        <f t="shared" si="54"/>
        <v>0</v>
      </c>
      <c r="DG24" s="296">
        <f t="shared" si="54"/>
        <v>0</v>
      </c>
      <c r="DH24" s="296">
        <f t="shared" si="54"/>
        <v>0</v>
      </c>
      <c r="DI24" s="296">
        <f t="shared" si="54"/>
        <v>0</v>
      </c>
      <c r="DJ24" s="296">
        <f t="shared" si="54"/>
        <v>0</v>
      </c>
      <c r="DK24" s="296">
        <f t="shared" si="54"/>
        <v>0</v>
      </c>
      <c r="DL24" s="296"/>
      <c r="DM24" s="296">
        <f t="shared" si="55"/>
        <v>0</v>
      </c>
      <c r="DN24" s="296">
        <f t="shared" si="55"/>
        <v>0</v>
      </c>
      <c r="DO24" s="296">
        <f t="shared" si="55"/>
        <v>0</v>
      </c>
      <c r="DP24" s="296">
        <f t="shared" si="55"/>
        <v>0</v>
      </c>
      <c r="DQ24" s="296">
        <f t="shared" si="55"/>
        <v>0</v>
      </c>
      <c r="DR24" s="296">
        <f t="shared" si="55"/>
        <v>0</v>
      </c>
      <c r="DS24" s="296">
        <f t="shared" si="55"/>
        <v>0</v>
      </c>
      <c r="DT24" s="296">
        <f t="shared" si="55"/>
        <v>0</v>
      </c>
      <c r="DU24" s="296">
        <f t="shared" si="55"/>
        <v>0</v>
      </c>
      <c r="DV24" s="296">
        <f t="shared" si="55"/>
        <v>0</v>
      </c>
      <c r="DW24" s="296">
        <f t="shared" si="55"/>
        <v>0</v>
      </c>
      <c r="DX24" s="296">
        <f t="shared" si="55"/>
        <v>0</v>
      </c>
      <c r="DY24" s="296">
        <f t="shared" si="55"/>
        <v>0</v>
      </c>
      <c r="DZ24" s="296"/>
      <c r="EA24" s="296">
        <f t="shared" si="56"/>
        <v>0</v>
      </c>
      <c r="EB24" s="296">
        <f t="shared" si="56"/>
        <v>0</v>
      </c>
      <c r="EC24" s="296">
        <f t="shared" si="56"/>
        <v>0</v>
      </c>
      <c r="ED24" s="296">
        <f t="shared" si="56"/>
        <v>0</v>
      </c>
      <c r="EE24" s="296">
        <f t="shared" si="56"/>
        <v>0</v>
      </c>
      <c r="EF24" s="296">
        <f t="shared" si="56"/>
        <v>0</v>
      </c>
      <c r="EG24" s="296">
        <f t="shared" si="56"/>
        <v>0</v>
      </c>
      <c r="EH24" s="296">
        <f t="shared" si="56"/>
        <v>0</v>
      </c>
      <c r="EI24" s="296">
        <f t="shared" si="56"/>
        <v>0</v>
      </c>
      <c r="EJ24" s="296">
        <f t="shared" si="56"/>
        <v>0</v>
      </c>
      <c r="EK24" s="296">
        <f t="shared" si="56"/>
        <v>0</v>
      </c>
      <c r="EL24" s="296">
        <f t="shared" si="56"/>
        <v>0</v>
      </c>
      <c r="EM24" s="296">
        <f t="shared" si="56"/>
        <v>0</v>
      </c>
      <c r="EN24" s="296"/>
    </row>
    <row r="25" spans="2:144" s="289" customFormat="1" ht="18.95" customHeight="1">
      <c r="B25" s="290"/>
      <c r="C25" s="291"/>
      <c r="D25" s="291"/>
      <c r="E25" s="291"/>
      <c r="F25" s="248">
        <v>6600</v>
      </c>
      <c r="G25" s="246" t="s">
        <v>148</v>
      </c>
      <c r="H25" s="293"/>
      <c r="I25" s="293"/>
      <c r="J25" s="291"/>
      <c r="K25" s="291"/>
      <c r="L25" s="294"/>
      <c r="M25" s="293"/>
      <c r="N25" s="295"/>
      <c r="O25" s="293"/>
      <c r="P25" s="293"/>
      <c r="Q25" s="293"/>
      <c r="R25" s="296"/>
      <c r="S25" s="296">
        <f t="shared" si="48"/>
        <v>0</v>
      </c>
      <c r="T25" s="296">
        <f t="shared" si="48"/>
        <v>0</v>
      </c>
      <c r="U25" s="296">
        <f t="shared" si="48"/>
        <v>0</v>
      </c>
      <c r="V25" s="296">
        <f t="shared" si="48"/>
        <v>0</v>
      </c>
      <c r="W25" s="296">
        <f t="shared" si="48"/>
        <v>0</v>
      </c>
      <c r="X25" s="296">
        <f t="shared" si="48"/>
        <v>0</v>
      </c>
      <c r="Y25" s="296">
        <f t="shared" si="48"/>
        <v>0</v>
      </c>
      <c r="Z25" s="296">
        <f t="shared" si="48"/>
        <v>0</v>
      </c>
      <c r="AA25" s="296">
        <f t="shared" si="48"/>
        <v>0</v>
      </c>
      <c r="AB25" s="296">
        <f t="shared" si="48"/>
        <v>0</v>
      </c>
      <c r="AC25" s="296">
        <f t="shared" si="48"/>
        <v>0</v>
      </c>
      <c r="AD25" s="296">
        <f t="shared" si="48"/>
        <v>0</v>
      </c>
      <c r="AE25" s="296">
        <f t="shared" si="48"/>
        <v>0</v>
      </c>
      <c r="AF25" s="296"/>
      <c r="AG25" s="296">
        <f t="shared" si="49"/>
        <v>0</v>
      </c>
      <c r="AH25" s="296">
        <f t="shared" si="49"/>
        <v>0</v>
      </c>
      <c r="AI25" s="296">
        <f t="shared" si="49"/>
        <v>0</v>
      </c>
      <c r="AJ25" s="296">
        <f t="shared" si="49"/>
        <v>0</v>
      </c>
      <c r="AK25" s="296">
        <f t="shared" si="49"/>
        <v>0</v>
      </c>
      <c r="AL25" s="296">
        <f t="shared" si="49"/>
        <v>0</v>
      </c>
      <c r="AM25" s="296">
        <f t="shared" si="49"/>
        <v>0</v>
      </c>
      <c r="AN25" s="296">
        <f t="shared" si="49"/>
        <v>0</v>
      </c>
      <c r="AO25" s="296">
        <f t="shared" si="49"/>
        <v>0</v>
      </c>
      <c r="AP25" s="296">
        <f t="shared" si="49"/>
        <v>0</v>
      </c>
      <c r="AQ25" s="296">
        <f t="shared" si="49"/>
        <v>0</v>
      </c>
      <c r="AR25" s="296">
        <f t="shared" si="49"/>
        <v>0</v>
      </c>
      <c r="AS25" s="296">
        <f t="shared" si="49"/>
        <v>0</v>
      </c>
      <c r="AT25" s="296"/>
      <c r="AU25" s="296">
        <f t="shared" si="50"/>
        <v>0</v>
      </c>
      <c r="AV25" s="296">
        <f t="shared" si="50"/>
        <v>0</v>
      </c>
      <c r="AW25" s="296">
        <f t="shared" si="50"/>
        <v>0</v>
      </c>
      <c r="AX25" s="296">
        <f t="shared" si="50"/>
        <v>0</v>
      </c>
      <c r="AY25" s="296">
        <f t="shared" si="50"/>
        <v>0</v>
      </c>
      <c r="AZ25" s="296">
        <f t="shared" si="50"/>
        <v>0</v>
      </c>
      <c r="BA25" s="296">
        <f t="shared" si="50"/>
        <v>0</v>
      </c>
      <c r="BB25" s="296">
        <f t="shared" si="50"/>
        <v>0</v>
      </c>
      <c r="BC25" s="296">
        <f t="shared" si="50"/>
        <v>0</v>
      </c>
      <c r="BD25" s="296">
        <f t="shared" si="50"/>
        <v>0</v>
      </c>
      <c r="BE25" s="296">
        <f t="shared" si="50"/>
        <v>0</v>
      </c>
      <c r="BF25" s="296">
        <f t="shared" si="50"/>
        <v>0</v>
      </c>
      <c r="BG25" s="296">
        <f t="shared" si="50"/>
        <v>0</v>
      </c>
      <c r="BH25" s="296"/>
      <c r="BI25" s="296">
        <f t="shared" si="51"/>
        <v>0</v>
      </c>
      <c r="BJ25" s="296">
        <f t="shared" si="51"/>
        <v>0</v>
      </c>
      <c r="BK25" s="296">
        <f t="shared" si="51"/>
        <v>0</v>
      </c>
      <c r="BL25" s="296">
        <f t="shared" si="51"/>
        <v>0</v>
      </c>
      <c r="BM25" s="296">
        <f t="shared" si="51"/>
        <v>0</v>
      </c>
      <c r="BN25" s="296">
        <f t="shared" si="51"/>
        <v>0</v>
      </c>
      <c r="BO25" s="296">
        <f t="shared" si="51"/>
        <v>0</v>
      </c>
      <c r="BP25" s="296">
        <f t="shared" si="51"/>
        <v>0</v>
      </c>
      <c r="BQ25" s="296">
        <f t="shared" si="51"/>
        <v>0</v>
      </c>
      <c r="BR25" s="296">
        <f t="shared" si="51"/>
        <v>0</v>
      </c>
      <c r="BS25" s="296">
        <f t="shared" si="51"/>
        <v>0</v>
      </c>
      <c r="BT25" s="296">
        <f t="shared" si="51"/>
        <v>0</v>
      </c>
      <c r="BU25" s="296">
        <f t="shared" si="51"/>
        <v>0</v>
      </c>
      <c r="BV25" s="296"/>
      <c r="BW25" s="296">
        <f t="shared" si="52"/>
        <v>0</v>
      </c>
      <c r="BX25" s="296">
        <f t="shared" si="52"/>
        <v>0</v>
      </c>
      <c r="BY25" s="296">
        <f t="shared" si="52"/>
        <v>0</v>
      </c>
      <c r="BZ25" s="296">
        <f t="shared" si="52"/>
        <v>0</v>
      </c>
      <c r="CA25" s="296">
        <f t="shared" si="52"/>
        <v>0</v>
      </c>
      <c r="CB25" s="296">
        <f t="shared" si="52"/>
        <v>0</v>
      </c>
      <c r="CC25" s="296">
        <f t="shared" si="52"/>
        <v>0</v>
      </c>
      <c r="CD25" s="296">
        <f t="shared" si="52"/>
        <v>0</v>
      </c>
      <c r="CE25" s="296">
        <f t="shared" si="52"/>
        <v>0</v>
      </c>
      <c r="CF25" s="296">
        <f t="shared" si="52"/>
        <v>0</v>
      </c>
      <c r="CG25" s="296">
        <f t="shared" si="52"/>
        <v>0</v>
      </c>
      <c r="CH25" s="296">
        <f t="shared" si="52"/>
        <v>0</v>
      </c>
      <c r="CI25" s="296">
        <f t="shared" si="52"/>
        <v>0</v>
      </c>
      <c r="CJ25" s="296"/>
      <c r="CK25" s="296">
        <f t="shared" si="53"/>
        <v>0</v>
      </c>
      <c r="CL25" s="296">
        <f t="shared" si="53"/>
        <v>0</v>
      </c>
      <c r="CM25" s="296">
        <f t="shared" si="53"/>
        <v>0</v>
      </c>
      <c r="CN25" s="296">
        <f t="shared" si="53"/>
        <v>0</v>
      </c>
      <c r="CO25" s="296">
        <f t="shared" si="53"/>
        <v>0</v>
      </c>
      <c r="CP25" s="296">
        <f t="shared" si="53"/>
        <v>0</v>
      </c>
      <c r="CQ25" s="296">
        <f t="shared" si="53"/>
        <v>0</v>
      </c>
      <c r="CR25" s="296">
        <f t="shared" si="53"/>
        <v>0</v>
      </c>
      <c r="CS25" s="296">
        <f t="shared" si="53"/>
        <v>0</v>
      </c>
      <c r="CT25" s="296">
        <f t="shared" si="53"/>
        <v>0</v>
      </c>
      <c r="CU25" s="296">
        <f t="shared" si="53"/>
        <v>0</v>
      </c>
      <c r="CV25" s="296">
        <f t="shared" si="53"/>
        <v>0</v>
      </c>
      <c r="CW25" s="296">
        <f t="shared" si="53"/>
        <v>0</v>
      </c>
      <c r="CX25" s="296"/>
      <c r="CY25" s="296">
        <f t="shared" si="54"/>
        <v>0</v>
      </c>
      <c r="CZ25" s="296">
        <f t="shared" si="54"/>
        <v>0</v>
      </c>
      <c r="DA25" s="296">
        <f t="shared" si="54"/>
        <v>0</v>
      </c>
      <c r="DB25" s="296">
        <f t="shared" si="54"/>
        <v>0</v>
      </c>
      <c r="DC25" s="296">
        <f t="shared" si="54"/>
        <v>0</v>
      </c>
      <c r="DD25" s="296">
        <f t="shared" si="54"/>
        <v>0</v>
      </c>
      <c r="DE25" s="296">
        <f t="shared" si="54"/>
        <v>0</v>
      </c>
      <c r="DF25" s="296">
        <f t="shared" si="54"/>
        <v>0</v>
      </c>
      <c r="DG25" s="296">
        <f t="shared" si="54"/>
        <v>0</v>
      </c>
      <c r="DH25" s="296">
        <f t="shared" si="54"/>
        <v>0</v>
      </c>
      <c r="DI25" s="296">
        <f t="shared" si="54"/>
        <v>0</v>
      </c>
      <c r="DJ25" s="296">
        <f t="shared" si="54"/>
        <v>0</v>
      </c>
      <c r="DK25" s="296">
        <f t="shared" si="54"/>
        <v>0</v>
      </c>
      <c r="DL25" s="296"/>
      <c r="DM25" s="296">
        <f t="shared" si="55"/>
        <v>0</v>
      </c>
      <c r="DN25" s="296">
        <f t="shared" si="55"/>
        <v>0</v>
      </c>
      <c r="DO25" s="296">
        <f t="shared" si="55"/>
        <v>0</v>
      </c>
      <c r="DP25" s="296">
        <f t="shared" si="55"/>
        <v>0</v>
      </c>
      <c r="DQ25" s="296">
        <f t="shared" si="55"/>
        <v>0</v>
      </c>
      <c r="DR25" s="296">
        <f t="shared" si="55"/>
        <v>0</v>
      </c>
      <c r="DS25" s="296">
        <f t="shared" si="55"/>
        <v>0</v>
      </c>
      <c r="DT25" s="296">
        <f t="shared" si="55"/>
        <v>0</v>
      </c>
      <c r="DU25" s="296">
        <f t="shared" si="55"/>
        <v>0</v>
      </c>
      <c r="DV25" s="296">
        <f t="shared" si="55"/>
        <v>0</v>
      </c>
      <c r="DW25" s="296">
        <f t="shared" si="55"/>
        <v>0</v>
      </c>
      <c r="DX25" s="296">
        <f t="shared" si="55"/>
        <v>0</v>
      </c>
      <c r="DY25" s="296">
        <f t="shared" si="55"/>
        <v>0</v>
      </c>
      <c r="DZ25" s="296"/>
      <c r="EA25" s="296">
        <f t="shared" si="56"/>
        <v>0</v>
      </c>
      <c r="EB25" s="296">
        <f t="shared" si="56"/>
        <v>0</v>
      </c>
      <c r="EC25" s="296">
        <f t="shared" si="56"/>
        <v>0</v>
      </c>
      <c r="ED25" s="296">
        <f t="shared" si="56"/>
        <v>0</v>
      </c>
      <c r="EE25" s="296">
        <f t="shared" si="56"/>
        <v>0</v>
      </c>
      <c r="EF25" s="296">
        <f t="shared" si="56"/>
        <v>0</v>
      </c>
      <c r="EG25" s="296">
        <f t="shared" si="56"/>
        <v>0</v>
      </c>
      <c r="EH25" s="296">
        <f t="shared" si="56"/>
        <v>0</v>
      </c>
      <c r="EI25" s="296">
        <f t="shared" si="56"/>
        <v>0</v>
      </c>
      <c r="EJ25" s="296">
        <f t="shared" si="56"/>
        <v>0</v>
      </c>
      <c r="EK25" s="296">
        <f t="shared" si="56"/>
        <v>0</v>
      </c>
      <c r="EL25" s="296">
        <f t="shared" si="56"/>
        <v>0</v>
      </c>
      <c r="EM25" s="296">
        <f t="shared" si="56"/>
        <v>0</v>
      </c>
      <c r="EN25" s="296"/>
    </row>
    <row r="26" spans="2:144" s="289" customFormat="1" ht="18.95" customHeight="1">
      <c r="B26" s="290"/>
      <c r="C26" s="291"/>
      <c r="D26" s="291"/>
      <c r="E26" s="291"/>
      <c r="F26" s="248">
        <v>6700</v>
      </c>
      <c r="G26" s="246" t="s">
        <v>208</v>
      </c>
      <c r="H26" s="293"/>
      <c r="I26" s="293"/>
      <c r="J26" s="291"/>
      <c r="K26" s="291"/>
      <c r="L26" s="294"/>
      <c r="M26" s="293"/>
      <c r="N26" s="295"/>
      <c r="O26" s="293"/>
      <c r="P26" s="293"/>
      <c r="Q26" s="293"/>
      <c r="R26" s="296"/>
      <c r="S26" s="296">
        <f t="shared" si="48"/>
        <v>0</v>
      </c>
      <c r="T26" s="296">
        <f t="shared" si="48"/>
        <v>0</v>
      </c>
      <c r="U26" s="296">
        <f t="shared" si="48"/>
        <v>0</v>
      </c>
      <c r="V26" s="296">
        <f t="shared" si="48"/>
        <v>0</v>
      </c>
      <c r="W26" s="296">
        <f t="shared" si="48"/>
        <v>0</v>
      </c>
      <c r="X26" s="296">
        <f t="shared" si="48"/>
        <v>0</v>
      </c>
      <c r="Y26" s="296">
        <f t="shared" si="48"/>
        <v>0</v>
      </c>
      <c r="Z26" s="296">
        <f t="shared" si="48"/>
        <v>0</v>
      </c>
      <c r="AA26" s="296">
        <f t="shared" si="48"/>
        <v>0</v>
      </c>
      <c r="AB26" s="296">
        <f t="shared" si="48"/>
        <v>0</v>
      </c>
      <c r="AC26" s="296">
        <f t="shared" si="48"/>
        <v>0</v>
      </c>
      <c r="AD26" s="296">
        <f t="shared" si="48"/>
        <v>0</v>
      </c>
      <c r="AE26" s="296">
        <f t="shared" si="48"/>
        <v>0</v>
      </c>
      <c r="AF26" s="296"/>
      <c r="AG26" s="296">
        <f t="shared" si="49"/>
        <v>0</v>
      </c>
      <c r="AH26" s="296">
        <f t="shared" si="49"/>
        <v>0</v>
      </c>
      <c r="AI26" s="296">
        <f t="shared" si="49"/>
        <v>0</v>
      </c>
      <c r="AJ26" s="296">
        <f t="shared" si="49"/>
        <v>0</v>
      </c>
      <c r="AK26" s="296">
        <f t="shared" si="49"/>
        <v>0</v>
      </c>
      <c r="AL26" s="296">
        <f t="shared" si="49"/>
        <v>0</v>
      </c>
      <c r="AM26" s="296">
        <f t="shared" si="49"/>
        <v>0</v>
      </c>
      <c r="AN26" s="296">
        <f t="shared" si="49"/>
        <v>0</v>
      </c>
      <c r="AO26" s="296">
        <f t="shared" si="49"/>
        <v>0</v>
      </c>
      <c r="AP26" s="296">
        <f t="shared" si="49"/>
        <v>0</v>
      </c>
      <c r="AQ26" s="296">
        <f t="shared" si="49"/>
        <v>0</v>
      </c>
      <c r="AR26" s="296">
        <f t="shared" si="49"/>
        <v>0</v>
      </c>
      <c r="AS26" s="296">
        <f t="shared" si="49"/>
        <v>0</v>
      </c>
      <c r="AT26" s="296"/>
      <c r="AU26" s="296">
        <f t="shared" si="50"/>
        <v>0</v>
      </c>
      <c r="AV26" s="296">
        <f t="shared" si="50"/>
        <v>0</v>
      </c>
      <c r="AW26" s="296">
        <f t="shared" si="50"/>
        <v>0</v>
      </c>
      <c r="AX26" s="296">
        <f t="shared" si="50"/>
        <v>0</v>
      </c>
      <c r="AY26" s="296">
        <f t="shared" si="50"/>
        <v>0</v>
      </c>
      <c r="AZ26" s="296">
        <f t="shared" si="50"/>
        <v>0</v>
      </c>
      <c r="BA26" s="296">
        <f t="shared" si="50"/>
        <v>0</v>
      </c>
      <c r="BB26" s="296">
        <f t="shared" si="50"/>
        <v>0</v>
      </c>
      <c r="BC26" s="296">
        <f t="shared" si="50"/>
        <v>0</v>
      </c>
      <c r="BD26" s="296">
        <f t="shared" si="50"/>
        <v>0</v>
      </c>
      <c r="BE26" s="296">
        <f t="shared" si="50"/>
        <v>0</v>
      </c>
      <c r="BF26" s="296">
        <f t="shared" si="50"/>
        <v>0</v>
      </c>
      <c r="BG26" s="296">
        <f t="shared" si="50"/>
        <v>0</v>
      </c>
      <c r="BH26" s="296"/>
      <c r="BI26" s="296">
        <f t="shared" si="51"/>
        <v>0</v>
      </c>
      <c r="BJ26" s="296">
        <f t="shared" si="51"/>
        <v>0</v>
      </c>
      <c r="BK26" s="296">
        <f t="shared" si="51"/>
        <v>0</v>
      </c>
      <c r="BL26" s="296">
        <f t="shared" si="51"/>
        <v>0</v>
      </c>
      <c r="BM26" s="296">
        <f t="shared" si="51"/>
        <v>0</v>
      </c>
      <c r="BN26" s="296">
        <f t="shared" si="51"/>
        <v>0</v>
      </c>
      <c r="BO26" s="296">
        <f t="shared" si="51"/>
        <v>0</v>
      </c>
      <c r="BP26" s="296">
        <f t="shared" si="51"/>
        <v>0</v>
      </c>
      <c r="BQ26" s="296">
        <f t="shared" si="51"/>
        <v>0</v>
      </c>
      <c r="BR26" s="296">
        <f t="shared" si="51"/>
        <v>0</v>
      </c>
      <c r="BS26" s="296">
        <f t="shared" si="51"/>
        <v>0</v>
      </c>
      <c r="BT26" s="296">
        <f t="shared" si="51"/>
        <v>0</v>
      </c>
      <c r="BU26" s="296">
        <f t="shared" si="51"/>
        <v>0</v>
      </c>
      <c r="BV26" s="296"/>
      <c r="BW26" s="296">
        <f t="shared" si="52"/>
        <v>0</v>
      </c>
      <c r="BX26" s="296">
        <f t="shared" si="52"/>
        <v>0</v>
      </c>
      <c r="BY26" s="296">
        <f t="shared" si="52"/>
        <v>0</v>
      </c>
      <c r="BZ26" s="296">
        <f t="shared" si="52"/>
        <v>0</v>
      </c>
      <c r="CA26" s="296">
        <f t="shared" si="52"/>
        <v>0</v>
      </c>
      <c r="CB26" s="296">
        <f t="shared" si="52"/>
        <v>0</v>
      </c>
      <c r="CC26" s="296">
        <f t="shared" si="52"/>
        <v>0</v>
      </c>
      <c r="CD26" s="296">
        <f t="shared" si="52"/>
        <v>0</v>
      </c>
      <c r="CE26" s="296">
        <f t="shared" si="52"/>
        <v>0</v>
      </c>
      <c r="CF26" s="296">
        <f t="shared" si="52"/>
        <v>0</v>
      </c>
      <c r="CG26" s="296">
        <f t="shared" si="52"/>
        <v>0</v>
      </c>
      <c r="CH26" s="296">
        <f t="shared" si="52"/>
        <v>0</v>
      </c>
      <c r="CI26" s="296">
        <f t="shared" si="52"/>
        <v>0</v>
      </c>
      <c r="CJ26" s="296"/>
      <c r="CK26" s="296">
        <f t="shared" si="53"/>
        <v>0</v>
      </c>
      <c r="CL26" s="296">
        <f t="shared" si="53"/>
        <v>0</v>
      </c>
      <c r="CM26" s="296">
        <f t="shared" si="53"/>
        <v>0</v>
      </c>
      <c r="CN26" s="296">
        <f t="shared" si="53"/>
        <v>0</v>
      </c>
      <c r="CO26" s="296">
        <f t="shared" si="53"/>
        <v>0</v>
      </c>
      <c r="CP26" s="296">
        <f t="shared" si="53"/>
        <v>0</v>
      </c>
      <c r="CQ26" s="296">
        <f t="shared" si="53"/>
        <v>0</v>
      </c>
      <c r="CR26" s="296">
        <f t="shared" si="53"/>
        <v>0</v>
      </c>
      <c r="CS26" s="296">
        <f t="shared" si="53"/>
        <v>0</v>
      </c>
      <c r="CT26" s="296">
        <f t="shared" si="53"/>
        <v>0</v>
      </c>
      <c r="CU26" s="296">
        <f t="shared" si="53"/>
        <v>0</v>
      </c>
      <c r="CV26" s="296">
        <f t="shared" si="53"/>
        <v>0</v>
      </c>
      <c r="CW26" s="296">
        <f t="shared" si="53"/>
        <v>0</v>
      </c>
      <c r="CX26" s="296"/>
      <c r="CY26" s="296">
        <f t="shared" si="54"/>
        <v>0</v>
      </c>
      <c r="CZ26" s="296">
        <f t="shared" si="54"/>
        <v>0</v>
      </c>
      <c r="DA26" s="296">
        <f t="shared" si="54"/>
        <v>0</v>
      </c>
      <c r="DB26" s="296">
        <f t="shared" si="54"/>
        <v>0</v>
      </c>
      <c r="DC26" s="296">
        <f t="shared" si="54"/>
        <v>0</v>
      </c>
      <c r="DD26" s="296">
        <f t="shared" si="54"/>
        <v>0</v>
      </c>
      <c r="DE26" s="296">
        <f t="shared" si="54"/>
        <v>0</v>
      </c>
      <c r="DF26" s="296">
        <f t="shared" si="54"/>
        <v>0</v>
      </c>
      <c r="DG26" s="296">
        <f t="shared" si="54"/>
        <v>0</v>
      </c>
      <c r="DH26" s="296">
        <f t="shared" si="54"/>
        <v>0</v>
      </c>
      <c r="DI26" s="296">
        <f t="shared" si="54"/>
        <v>0</v>
      </c>
      <c r="DJ26" s="296">
        <f t="shared" si="54"/>
        <v>0</v>
      </c>
      <c r="DK26" s="296">
        <f t="shared" si="54"/>
        <v>0</v>
      </c>
      <c r="DL26" s="296"/>
      <c r="DM26" s="296">
        <f t="shared" si="55"/>
        <v>0</v>
      </c>
      <c r="DN26" s="296">
        <f t="shared" si="55"/>
        <v>0</v>
      </c>
      <c r="DO26" s="296">
        <f t="shared" si="55"/>
        <v>0</v>
      </c>
      <c r="DP26" s="296">
        <f t="shared" si="55"/>
        <v>0</v>
      </c>
      <c r="DQ26" s="296">
        <f t="shared" si="55"/>
        <v>0</v>
      </c>
      <c r="DR26" s="296">
        <f t="shared" si="55"/>
        <v>0</v>
      </c>
      <c r="DS26" s="296">
        <f t="shared" si="55"/>
        <v>0</v>
      </c>
      <c r="DT26" s="296">
        <f t="shared" si="55"/>
        <v>0</v>
      </c>
      <c r="DU26" s="296">
        <f t="shared" si="55"/>
        <v>0</v>
      </c>
      <c r="DV26" s="296">
        <f t="shared" si="55"/>
        <v>0</v>
      </c>
      <c r="DW26" s="296">
        <f t="shared" si="55"/>
        <v>0</v>
      </c>
      <c r="DX26" s="296">
        <f t="shared" si="55"/>
        <v>0</v>
      </c>
      <c r="DY26" s="296">
        <f t="shared" si="55"/>
        <v>0</v>
      </c>
      <c r="DZ26" s="296"/>
      <c r="EA26" s="296">
        <f t="shared" si="56"/>
        <v>0</v>
      </c>
      <c r="EB26" s="296">
        <f t="shared" si="56"/>
        <v>0</v>
      </c>
      <c r="EC26" s="296">
        <f t="shared" si="56"/>
        <v>0</v>
      </c>
      <c r="ED26" s="296">
        <f t="shared" si="56"/>
        <v>0</v>
      </c>
      <c r="EE26" s="296">
        <f t="shared" si="56"/>
        <v>0</v>
      </c>
      <c r="EF26" s="296">
        <f t="shared" si="56"/>
        <v>0</v>
      </c>
      <c r="EG26" s="296">
        <f t="shared" si="56"/>
        <v>0</v>
      </c>
      <c r="EH26" s="296">
        <f t="shared" si="56"/>
        <v>0</v>
      </c>
      <c r="EI26" s="296">
        <f t="shared" si="56"/>
        <v>0</v>
      </c>
      <c r="EJ26" s="296">
        <f t="shared" si="56"/>
        <v>0</v>
      </c>
      <c r="EK26" s="296">
        <f t="shared" si="56"/>
        <v>0</v>
      </c>
      <c r="EL26" s="296">
        <f t="shared" si="56"/>
        <v>0</v>
      </c>
      <c r="EM26" s="296">
        <f t="shared" si="56"/>
        <v>0</v>
      </c>
      <c r="EN26" s="296"/>
    </row>
    <row r="27" spans="2:144" s="289" customFormat="1" ht="18.95" customHeight="1">
      <c r="B27" s="290"/>
      <c r="C27" s="291"/>
      <c r="D27" s="291"/>
      <c r="E27" s="291"/>
      <c r="F27" s="248">
        <v>6800</v>
      </c>
      <c r="G27" s="246" t="s">
        <v>135</v>
      </c>
      <c r="H27" s="293"/>
      <c r="I27" s="293"/>
      <c r="J27" s="291"/>
      <c r="K27" s="291"/>
      <c r="L27" s="294"/>
      <c r="M27" s="293"/>
      <c r="N27" s="295"/>
      <c r="O27" s="293"/>
      <c r="P27" s="293"/>
      <c r="Q27" s="293"/>
      <c r="R27" s="296"/>
      <c r="S27" s="296">
        <f t="shared" si="48"/>
        <v>0</v>
      </c>
      <c r="T27" s="296">
        <f t="shared" si="48"/>
        <v>0</v>
      </c>
      <c r="U27" s="296">
        <f t="shared" si="48"/>
        <v>0</v>
      </c>
      <c r="V27" s="296">
        <f t="shared" si="48"/>
        <v>0</v>
      </c>
      <c r="W27" s="296">
        <f t="shared" si="48"/>
        <v>0</v>
      </c>
      <c r="X27" s="296">
        <f t="shared" si="48"/>
        <v>0</v>
      </c>
      <c r="Y27" s="296">
        <f t="shared" si="48"/>
        <v>0</v>
      </c>
      <c r="Z27" s="296">
        <f t="shared" si="48"/>
        <v>0</v>
      </c>
      <c r="AA27" s="296">
        <f t="shared" si="48"/>
        <v>0</v>
      </c>
      <c r="AB27" s="296">
        <f t="shared" si="48"/>
        <v>0</v>
      </c>
      <c r="AC27" s="296">
        <f t="shared" si="48"/>
        <v>0</v>
      </c>
      <c r="AD27" s="296">
        <f t="shared" si="48"/>
        <v>0</v>
      </c>
      <c r="AE27" s="296">
        <f t="shared" si="48"/>
        <v>0</v>
      </c>
      <c r="AF27" s="296"/>
      <c r="AG27" s="296">
        <f t="shared" si="49"/>
        <v>0</v>
      </c>
      <c r="AH27" s="296">
        <f t="shared" si="49"/>
        <v>0</v>
      </c>
      <c r="AI27" s="296">
        <f t="shared" si="49"/>
        <v>0</v>
      </c>
      <c r="AJ27" s="296">
        <f t="shared" si="49"/>
        <v>0</v>
      </c>
      <c r="AK27" s="296">
        <f t="shared" si="49"/>
        <v>0</v>
      </c>
      <c r="AL27" s="296">
        <f t="shared" si="49"/>
        <v>0</v>
      </c>
      <c r="AM27" s="296">
        <f t="shared" si="49"/>
        <v>0</v>
      </c>
      <c r="AN27" s="296">
        <f t="shared" si="49"/>
        <v>0</v>
      </c>
      <c r="AO27" s="296">
        <f t="shared" si="49"/>
        <v>0</v>
      </c>
      <c r="AP27" s="296">
        <f t="shared" si="49"/>
        <v>0</v>
      </c>
      <c r="AQ27" s="296">
        <f t="shared" si="49"/>
        <v>0</v>
      </c>
      <c r="AR27" s="296">
        <f t="shared" si="49"/>
        <v>0</v>
      </c>
      <c r="AS27" s="296">
        <f t="shared" si="49"/>
        <v>0</v>
      </c>
      <c r="AT27" s="296"/>
      <c r="AU27" s="296">
        <f t="shared" si="50"/>
        <v>0</v>
      </c>
      <c r="AV27" s="296">
        <f t="shared" si="50"/>
        <v>0</v>
      </c>
      <c r="AW27" s="296">
        <f t="shared" si="50"/>
        <v>0</v>
      </c>
      <c r="AX27" s="296">
        <f t="shared" si="50"/>
        <v>0</v>
      </c>
      <c r="AY27" s="296">
        <f t="shared" si="50"/>
        <v>0</v>
      </c>
      <c r="AZ27" s="296">
        <f t="shared" si="50"/>
        <v>0</v>
      </c>
      <c r="BA27" s="296">
        <f t="shared" si="50"/>
        <v>0</v>
      </c>
      <c r="BB27" s="296">
        <f t="shared" si="50"/>
        <v>0</v>
      </c>
      <c r="BC27" s="296">
        <f t="shared" si="50"/>
        <v>0</v>
      </c>
      <c r="BD27" s="296">
        <f t="shared" si="50"/>
        <v>0</v>
      </c>
      <c r="BE27" s="296">
        <f t="shared" si="50"/>
        <v>0</v>
      </c>
      <c r="BF27" s="296">
        <f t="shared" si="50"/>
        <v>0</v>
      </c>
      <c r="BG27" s="296">
        <f t="shared" si="50"/>
        <v>0</v>
      </c>
      <c r="BH27" s="296"/>
      <c r="BI27" s="296">
        <f t="shared" si="51"/>
        <v>0</v>
      </c>
      <c r="BJ27" s="296">
        <f t="shared" si="51"/>
        <v>0</v>
      </c>
      <c r="BK27" s="296">
        <f t="shared" si="51"/>
        <v>0</v>
      </c>
      <c r="BL27" s="296">
        <f t="shared" si="51"/>
        <v>0</v>
      </c>
      <c r="BM27" s="296">
        <f t="shared" si="51"/>
        <v>0</v>
      </c>
      <c r="BN27" s="296">
        <f t="shared" si="51"/>
        <v>0</v>
      </c>
      <c r="BO27" s="296">
        <f t="shared" si="51"/>
        <v>0</v>
      </c>
      <c r="BP27" s="296">
        <f t="shared" si="51"/>
        <v>0</v>
      </c>
      <c r="BQ27" s="296">
        <f t="shared" si="51"/>
        <v>0</v>
      </c>
      <c r="BR27" s="296">
        <f t="shared" si="51"/>
        <v>0</v>
      </c>
      <c r="BS27" s="296">
        <f t="shared" si="51"/>
        <v>0</v>
      </c>
      <c r="BT27" s="296">
        <f t="shared" si="51"/>
        <v>0</v>
      </c>
      <c r="BU27" s="296">
        <f t="shared" si="51"/>
        <v>0</v>
      </c>
      <c r="BV27" s="296"/>
      <c r="BW27" s="296">
        <f t="shared" si="52"/>
        <v>0</v>
      </c>
      <c r="BX27" s="296">
        <f t="shared" si="52"/>
        <v>0</v>
      </c>
      <c r="BY27" s="296">
        <f t="shared" si="52"/>
        <v>0</v>
      </c>
      <c r="BZ27" s="296">
        <f t="shared" si="52"/>
        <v>0</v>
      </c>
      <c r="CA27" s="296">
        <f t="shared" si="52"/>
        <v>0</v>
      </c>
      <c r="CB27" s="296">
        <f t="shared" si="52"/>
        <v>0</v>
      </c>
      <c r="CC27" s="296">
        <f t="shared" si="52"/>
        <v>0</v>
      </c>
      <c r="CD27" s="296">
        <f t="shared" si="52"/>
        <v>0</v>
      </c>
      <c r="CE27" s="296">
        <f t="shared" si="52"/>
        <v>0</v>
      </c>
      <c r="CF27" s="296">
        <f t="shared" si="52"/>
        <v>0</v>
      </c>
      <c r="CG27" s="296">
        <f t="shared" si="52"/>
        <v>0</v>
      </c>
      <c r="CH27" s="296">
        <f t="shared" si="52"/>
        <v>0</v>
      </c>
      <c r="CI27" s="296">
        <f t="shared" si="52"/>
        <v>0</v>
      </c>
      <c r="CJ27" s="296"/>
      <c r="CK27" s="296">
        <f t="shared" si="53"/>
        <v>0</v>
      </c>
      <c r="CL27" s="296">
        <f t="shared" si="53"/>
        <v>0</v>
      </c>
      <c r="CM27" s="296">
        <f t="shared" si="53"/>
        <v>0</v>
      </c>
      <c r="CN27" s="296">
        <f t="shared" si="53"/>
        <v>0</v>
      </c>
      <c r="CO27" s="296">
        <f t="shared" si="53"/>
        <v>0</v>
      </c>
      <c r="CP27" s="296">
        <f t="shared" si="53"/>
        <v>0</v>
      </c>
      <c r="CQ27" s="296">
        <f t="shared" si="53"/>
        <v>0</v>
      </c>
      <c r="CR27" s="296">
        <f t="shared" si="53"/>
        <v>0</v>
      </c>
      <c r="CS27" s="296">
        <f t="shared" si="53"/>
        <v>0</v>
      </c>
      <c r="CT27" s="296">
        <f t="shared" si="53"/>
        <v>0</v>
      </c>
      <c r="CU27" s="296">
        <f t="shared" si="53"/>
        <v>0</v>
      </c>
      <c r="CV27" s="296">
        <f t="shared" si="53"/>
        <v>0</v>
      </c>
      <c r="CW27" s="296">
        <f t="shared" si="53"/>
        <v>0</v>
      </c>
      <c r="CX27" s="296"/>
      <c r="CY27" s="296">
        <f t="shared" si="54"/>
        <v>0</v>
      </c>
      <c r="CZ27" s="296">
        <f t="shared" si="54"/>
        <v>0</v>
      </c>
      <c r="DA27" s="296">
        <f t="shared" si="54"/>
        <v>0</v>
      </c>
      <c r="DB27" s="296">
        <f t="shared" si="54"/>
        <v>0</v>
      </c>
      <c r="DC27" s="296">
        <f t="shared" si="54"/>
        <v>0</v>
      </c>
      <c r="DD27" s="296">
        <f t="shared" si="54"/>
        <v>0</v>
      </c>
      <c r="DE27" s="296">
        <f t="shared" si="54"/>
        <v>0</v>
      </c>
      <c r="DF27" s="296">
        <f t="shared" si="54"/>
        <v>0</v>
      </c>
      <c r="DG27" s="296">
        <f t="shared" si="54"/>
        <v>0</v>
      </c>
      <c r="DH27" s="296">
        <f t="shared" si="54"/>
        <v>0</v>
      </c>
      <c r="DI27" s="296">
        <f t="shared" si="54"/>
        <v>0</v>
      </c>
      <c r="DJ27" s="296">
        <f t="shared" si="54"/>
        <v>0</v>
      </c>
      <c r="DK27" s="296">
        <f t="shared" si="54"/>
        <v>0</v>
      </c>
      <c r="DL27" s="296"/>
      <c r="DM27" s="296">
        <f t="shared" si="55"/>
        <v>0</v>
      </c>
      <c r="DN27" s="296">
        <f t="shared" si="55"/>
        <v>0</v>
      </c>
      <c r="DO27" s="296">
        <f t="shared" si="55"/>
        <v>0</v>
      </c>
      <c r="DP27" s="296">
        <f t="shared" si="55"/>
        <v>0</v>
      </c>
      <c r="DQ27" s="296">
        <f t="shared" si="55"/>
        <v>0</v>
      </c>
      <c r="DR27" s="296">
        <f t="shared" si="55"/>
        <v>0</v>
      </c>
      <c r="DS27" s="296">
        <f t="shared" si="55"/>
        <v>0</v>
      </c>
      <c r="DT27" s="296">
        <f t="shared" si="55"/>
        <v>0</v>
      </c>
      <c r="DU27" s="296">
        <f t="shared" si="55"/>
        <v>0</v>
      </c>
      <c r="DV27" s="296">
        <f t="shared" si="55"/>
        <v>0</v>
      </c>
      <c r="DW27" s="296">
        <f t="shared" si="55"/>
        <v>0</v>
      </c>
      <c r="DX27" s="296">
        <f t="shared" si="55"/>
        <v>0</v>
      </c>
      <c r="DY27" s="296">
        <f t="shared" si="55"/>
        <v>0</v>
      </c>
      <c r="DZ27" s="296"/>
      <c r="EA27" s="296">
        <f t="shared" si="56"/>
        <v>0</v>
      </c>
      <c r="EB27" s="296">
        <f t="shared" si="56"/>
        <v>0</v>
      </c>
      <c r="EC27" s="296">
        <f t="shared" si="56"/>
        <v>0</v>
      </c>
      <c r="ED27" s="296">
        <f t="shared" si="56"/>
        <v>0</v>
      </c>
      <c r="EE27" s="296">
        <f t="shared" si="56"/>
        <v>0</v>
      </c>
      <c r="EF27" s="296">
        <f t="shared" si="56"/>
        <v>0</v>
      </c>
      <c r="EG27" s="296">
        <f t="shared" si="56"/>
        <v>0</v>
      </c>
      <c r="EH27" s="296">
        <f t="shared" si="56"/>
        <v>0</v>
      </c>
      <c r="EI27" s="296">
        <f t="shared" si="56"/>
        <v>0</v>
      </c>
      <c r="EJ27" s="296">
        <f t="shared" si="56"/>
        <v>0</v>
      </c>
      <c r="EK27" s="296">
        <f t="shared" si="56"/>
        <v>0</v>
      </c>
      <c r="EL27" s="296">
        <f t="shared" si="56"/>
        <v>0</v>
      </c>
      <c r="EM27" s="296">
        <f t="shared" si="56"/>
        <v>0</v>
      </c>
      <c r="EN27" s="296"/>
    </row>
    <row r="28" spans="2:144" s="289" customFormat="1" ht="18.95" customHeight="1">
      <c r="B28" s="290"/>
      <c r="C28" s="291"/>
      <c r="D28" s="291"/>
      <c r="E28" s="291"/>
      <c r="F28" s="248">
        <v>6900</v>
      </c>
      <c r="G28" s="246" t="s">
        <v>210</v>
      </c>
      <c r="H28" s="293"/>
      <c r="I28" s="293"/>
      <c r="J28" s="291"/>
      <c r="K28" s="291"/>
      <c r="L28" s="294"/>
      <c r="M28" s="293"/>
      <c r="N28" s="295"/>
      <c r="O28" s="293"/>
      <c r="P28" s="293"/>
      <c r="Q28" s="293"/>
      <c r="R28" s="296"/>
      <c r="S28" s="296">
        <f t="shared" si="48"/>
        <v>0</v>
      </c>
      <c r="T28" s="296">
        <f t="shared" si="48"/>
        <v>0</v>
      </c>
      <c r="U28" s="296">
        <f t="shared" si="48"/>
        <v>0</v>
      </c>
      <c r="V28" s="296">
        <f t="shared" si="48"/>
        <v>0</v>
      </c>
      <c r="W28" s="296">
        <f t="shared" si="48"/>
        <v>0</v>
      </c>
      <c r="X28" s="296">
        <f t="shared" si="48"/>
        <v>0</v>
      </c>
      <c r="Y28" s="296">
        <f t="shared" si="48"/>
        <v>0</v>
      </c>
      <c r="Z28" s="296">
        <f t="shared" si="48"/>
        <v>0</v>
      </c>
      <c r="AA28" s="296">
        <f t="shared" si="48"/>
        <v>0</v>
      </c>
      <c r="AB28" s="296">
        <f t="shared" si="48"/>
        <v>0</v>
      </c>
      <c r="AC28" s="296">
        <f t="shared" si="48"/>
        <v>0</v>
      </c>
      <c r="AD28" s="296">
        <f t="shared" si="48"/>
        <v>0</v>
      </c>
      <c r="AE28" s="296">
        <f t="shared" si="48"/>
        <v>0</v>
      </c>
      <c r="AF28" s="296"/>
      <c r="AG28" s="296">
        <f t="shared" si="49"/>
        <v>0</v>
      </c>
      <c r="AH28" s="296">
        <f t="shared" si="49"/>
        <v>0</v>
      </c>
      <c r="AI28" s="296">
        <f t="shared" si="49"/>
        <v>0</v>
      </c>
      <c r="AJ28" s="296">
        <f t="shared" si="49"/>
        <v>0</v>
      </c>
      <c r="AK28" s="296">
        <f t="shared" si="49"/>
        <v>0</v>
      </c>
      <c r="AL28" s="296">
        <f t="shared" si="49"/>
        <v>0</v>
      </c>
      <c r="AM28" s="296">
        <f t="shared" si="49"/>
        <v>0</v>
      </c>
      <c r="AN28" s="296">
        <f t="shared" si="49"/>
        <v>0</v>
      </c>
      <c r="AO28" s="296">
        <f t="shared" si="49"/>
        <v>0</v>
      </c>
      <c r="AP28" s="296">
        <f t="shared" si="49"/>
        <v>0</v>
      </c>
      <c r="AQ28" s="296">
        <f t="shared" si="49"/>
        <v>0</v>
      </c>
      <c r="AR28" s="296">
        <f t="shared" si="49"/>
        <v>0</v>
      </c>
      <c r="AS28" s="296">
        <f t="shared" si="49"/>
        <v>0</v>
      </c>
      <c r="AT28" s="296"/>
      <c r="AU28" s="296">
        <f t="shared" si="50"/>
        <v>0</v>
      </c>
      <c r="AV28" s="296">
        <f t="shared" si="50"/>
        <v>0</v>
      </c>
      <c r="AW28" s="296">
        <f t="shared" si="50"/>
        <v>0</v>
      </c>
      <c r="AX28" s="296">
        <f t="shared" si="50"/>
        <v>0</v>
      </c>
      <c r="AY28" s="296">
        <f t="shared" si="50"/>
        <v>0</v>
      </c>
      <c r="AZ28" s="296">
        <f t="shared" si="50"/>
        <v>0</v>
      </c>
      <c r="BA28" s="296">
        <f t="shared" si="50"/>
        <v>0</v>
      </c>
      <c r="BB28" s="296">
        <f t="shared" si="50"/>
        <v>0</v>
      </c>
      <c r="BC28" s="296">
        <f t="shared" si="50"/>
        <v>0</v>
      </c>
      <c r="BD28" s="296">
        <f t="shared" si="50"/>
        <v>0</v>
      </c>
      <c r="BE28" s="296">
        <f t="shared" si="50"/>
        <v>0</v>
      </c>
      <c r="BF28" s="296">
        <f t="shared" si="50"/>
        <v>0</v>
      </c>
      <c r="BG28" s="296">
        <f t="shared" si="50"/>
        <v>0</v>
      </c>
      <c r="BH28" s="296"/>
      <c r="BI28" s="296">
        <f t="shared" si="51"/>
        <v>0</v>
      </c>
      <c r="BJ28" s="296">
        <f t="shared" si="51"/>
        <v>0</v>
      </c>
      <c r="BK28" s="296">
        <f t="shared" si="51"/>
        <v>0</v>
      </c>
      <c r="BL28" s="296">
        <f t="shared" si="51"/>
        <v>0</v>
      </c>
      <c r="BM28" s="296">
        <f t="shared" si="51"/>
        <v>0</v>
      </c>
      <c r="BN28" s="296">
        <f t="shared" si="51"/>
        <v>0</v>
      </c>
      <c r="BO28" s="296">
        <f t="shared" si="51"/>
        <v>0</v>
      </c>
      <c r="BP28" s="296">
        <f t="shared" si="51"/>
        <v>0</v>
      </c>
      <c r="BQ28" s="296">
        <f t="shared" si="51"/>
        <v>0</v>
      </c>
      <c r="BR28" s="296">
        <f t="shared" si="51"/>
        <v>0</v>
      </c>
      <c r="BS28" s="296">
        <f t="shared" si="51"/>
        <v>0</v>
      </c>
      <c r="BT28" s="296">
        <f t="shared" si="51"/>
        <v>0</v>
      </c>
      <c r="BU28" s="296">
        <f t="shared" si="51"/>
        <v>0</v>
      </c>
      <c r="BV28" s="296"/>
      <c r="BW28" s="296">
        <f t="shared" si="52"/>
        <v>0</v>
      </c>
      <c r="BX28" s="296">
        <f t="shared" si="52"/>
        <v>0</v>
      </c>
      <c r="BY28" s="296">
        <f t="shared" si="52"/>
        <v>0</v>
      </c>
      <c r="BZ28" s="296">
        <f t="shared" si="52"/>
        <v>0</v>
      </c>
      <c r="CA28" s="296">
        <f t="shared" si="52"/>
        <v>0</v>
      </c>
      <c r="CB28" s="296">
        <f t="shared" si="52"/>
        <v>0</v>
      </c>
      <c r="CC28" s="296">
        <f t="shared" si="52"/>
        <v>0</v>
      </c>
      <c r="CD28" s="296">
        <f t="shared" si="52"/>
        <v>0</v>
      </c>
      <c r="CE28" s="296">
        <f t="shared" si="52"/>
        <v>0</v>
      </c>
      <c r="CF28" s="296">
        <f t="shared" si="52"/>
        <v>0</v>
      </c>
      <c r="CG28" s="296">
        <f t="shared" si="52"/>
        <v>0</v>
      </c>
      <c r="CH28" s="296">
        <f t="shared" si="52"/>
        <v>0</v>
      </c>
      <c r="CI28" s="296">
        <f t="shared" si="52"/>
        <v>0</v>
      </c>
      <c r="CJ28" s="296"/>
      <c r="CK28" s="296">
        <f t="shared" si="53"/>
        <v>0</v>
      </c>
      <c r="CL28" s="296">
        <f t="shared" si="53"/>
        <v>0</v>
      </c>
      <c r="CM28" s="296">
        <f t="shared" si="53"/>
        <v>0</v>
      </c>
      <c r="CN28" s="296">
        <f t="shared" si="53"/>
        <v>0</v>
      </c>
      <c r="CO28" s="296">
        <f t="shared" si="53"/>
        <v>0</v>
      </c>
      <c r="CP28" s="296">
        <f t="shared" si="53"/>
        <v>0</v>
      </c>
      <c r="CQ28" s="296">
        <f t="shared" si="53"/>
        <v>0</v>
      </c>
      <c r="CR28" s="296">
        <f t="shared" si="53"/>
        <v>0</v>
      </c>
      <c r="CS28" s="296">
        <f t="shared" si="53"/>
        <v>0</v>
      </c>
      <c r="CT28" s="296">
        <f t="shared" si="53"/>
        <v>0</v>
      </c>
      <c r="CU28" s="296">
        <f t="shared" si="53"/>
        <v>0</v>
      </c>
      <c r="CV28" s="296">
        <f t="shared" si="53"/>
        <v>0</v>
      </c>
      <c r="CW28" s="296">
        <f t="shared" si="53"/>
        <v>0</v>
      </c>
      <c r="CX28" s="296"/>
      <c r="CY28" s="296">
        <f t="shared" si="54"/>
        <v>0</v>
      </c>
      <c r="CZ28" s="296">
        <f t="shared" si="54"/>
        <v>0</v>
      </c>
      <c r="DA28" s="296">
        <f t="shared" si="54"/>
        <v>0</v>
      </c>
      <c r="DB28" s="296">
        <f t="shared" si="54"/>
        <v>0</v>
      </c>
      <c r="DC28" s="296">
        <f t="shared" si="54"/>
        <v>0</v>
      </c>
      <c r="DD28" s="296">
        <f t="shared" si="54"/>
        <v>0</v>
      </c>
      <c r="DE28" s="296">
        <f t="shared" si="54"/>
        <v>0</v>
      </c>
      <c r="DF28" s="296">
        <f t="shared" si="54"/>
        <v>0</v>
      </c>
      <c r="DG28" s="296">
        <f t="shared" si="54"/>
        <v>0</v>
      </c>
      <c r="DH28" s="296">
        <f t="shared" si="54"/>
        <v>0</v>
      </c>
      <c r="DI28" s="296">
        <f t="shared" si="54"/>
        <v>0</v>
      </c>
      <c r="DJ28" s="296">
        <f t="shared" si="54"/>
        <v>0</v>
      </c>
      <c r="DK28" s="296">
        <f t="shared" si="54"/>
        <v>0</v>
      </c>
      <c r="DL28" s="296"/>
      <c r="DM28" s="296">
        <f t="shared" si="55"/>
        <v>0</v>
      </c>
      <c r="DN28" s="296">
        <f t="shared" si="55"/>
        <v>0</v>
      </c>
      <c r="DO28" s="296">
        <f t="shared" si="55"/>
        <v>0</v>
      </c>
      <c r="DP28" s="296">
        <f t="shared" si="55"/>
        <v>0</v>
      </c>
      <c r="DQ28" s="296">
        <f t="shared" si="55"/>
        <v>0</v>
      </c>
      <c r="DR28" s="296">
        <f t="shared" si="55"/>
        <v>0</v>
      </c>
      <c r="DS28" s="296">
        <f t="shared" si="55"/>
        <v>0</v>
      </c>
      <c r="DT28" s="296">
        <f t="shared" si="55"/>
        <v>0</v>
      </c>
      <c r="DU28" s="296">
        <f t="shared" si="55"/>
        <v>0</v>
      </c>
      <c r="DV28" s="296">
        <f t="shared" si="55"/>
        <v>0</v>
      </c>
      <c r="DW28" s="296">
        <f t="shared" si="55"/>
        <v>0</v>
      </c>
      <c r="DX28" s="296">
        <f t="shared" si="55"/>
        <v>0</v>
      </c>
      <c r="DY28" s="296">
        <f t="shared" si="55"/>
        <v>0</v>
      </c>
      <c r="DZ28" s="296"/>
      <c r="EA28" s="296">
        <f t="shared" si="56"/>
        <v>0</v>
      </c>
      <c r="EB28" s="296">
        <f t="shared" si="56"/>
        <v>0</v>
      </c>
      <c r="EC28" s="296">
        <f t="shared" si="56"/>
        <v>0</v>
      </c>
      <c r="ED28" s="296">
        <f t="shared" si="56"/>
        <v>0</v>
      </c>
      <c r="EE28" s="296">
        <f t="shared" si="56"/>
        <v>0</v>
      </c>
      <c r="EF28" s="296">
        <f t="shared" si="56"/>
        <v>0</v>
      </c>
      <c r="EG28" s="296">
        <f t="shared" si="56"/>
        <v>0</v>
      </c>
      <c r="EH28" s="296">
        <f t="shared" si="56"/>
        <v>0</v>
      </c>
      <c r="EI28" s="296">
        <f t="shared" si="56"/>
        <v>0</v>
      </c>
      <c r="EJ28" s="296">
        <f t="shared" si="56"/>
        <v>0</v>
      </c>
      <c r="EK28" s="296">
        <f t="shared" si="56"/>
        <v>0</v>
      </c>
      <c r="EL28" s="296">
        <f t="shared" si="56"/>
        <v>0</v>
      </c>
      <c r="EM28" s="296">
        <f t="shared" si="56"/>
        <v>0</v>
      </c>
      <c r="EN28" s="296"/>
    </row>
    <row r="29" spans="2:144" s="289" customFormat="1" ht="18.95" customHeight="1">
      <c r="B29" s="290"/>
      <c r="C29" s="291"/>
      <c r="D29" s="291"/>
      <c r="E29" s="291"/>
      <c r="F29" s="248">
        <v>7200</v>
      </c>
      <c r="G29" s="246" t="s">
        <v>209</v>
      </c>
      <c r="H29" s="293"/>
      <c r="I29" s="293"/>
      <c r="J29" s="291"/>
      <c r="K29" s="291"/>
      <c r="L29" s="294"/>
      <c r="M29" s="293"/>
      <c r="N29" s="295"/>
      <c r="O29" s="293"/>
      <c r="P29" s="293"/>
      <c r="Q29" s="293"/>
      <c r="R29" s="296"/>
      <c r="S29" s="296">
        <f t="shared" si="48"/>
        <v>0</v>
      </c>
      <c r="T29" s="296">
        <f t="shared" si="48"/>
        <v>0</v>
      </c>
      <c r="U29" s="296">
        <f t="shared" si="48"/>
        <v>0</v>
      </c>
      <c r="V29" s="296">
        <f t="shared" si="48"/>
        <v>0</v>
      </c>
      <c r="W29" s="296">
        <f t="shared" si="48"/>
        <v>0</v>
      </c>
      <c r="X29" s="296">
        <f t="shared" si="48"/>
        <v>0</v>
      </c>
      <c r="Y29" s="296">
        <f t="shared" si="48"/>
        <v>0</v>
      </c>
      <c r="Z29" s="296">
        <f t="shared" si="48"/>
        <v>0</v>
      </c>
      <c r="AA29" s="296">
        <f t="shared" si="48"/>
        <v>0</v>
      </c>
      <c r="AB29" s="296">
        <f t="shared" si="48"/>
        <v>0</v>
      </c>
      <c r="AC29" s="296">
        <f t="shared" si="48"/>
        <v>0</v>
      </c>
      <c r="AD29" s="296">
        <f t="shared" si="48"/>
        <v>0</v>
      </c>
      <c r="AE29" s="296">
        <f t="shared" si="48"/>
        <v>0</v>
      </c>
      <c r="AF29" s="296"/>
      <c r="AG29" s="296">
        <f t="shared" si="49"/>
        <v>0</v>
      </c>
      <c r="AH29" s="296">
        <f t="shared" si="49"/>
        <v>0</v>
      </c>
      <c r="AI29" s="296">
        <f t="shared" si="49"/>
        <v>0</v>
      </c>
      <c r="AJ29" s="296">
        <f t="shared" si="49"/>
        <v>0</v>
      </c>
      <c r="AK29" s="296">
        <f t="shared" si="49"/>
        <v>0</v>
      </c>
      <c r="AL29" s="296">
        <f t="shared" si="49"/>
        <v>0</v>
      </c>
      <c r="AM29" s="296">
        <f t="shared" si="49"/>
        <v>0</v>
      </c>
      <c r="AN29" s="296">
        <f t="shared" si="49"/>
        <v>0</v>
      </c>
      <c r="AO29" s="296">
        <f t="shared" si="49"/>
        <v>0</v>
      </c>
      <c r="AP29" s="296">
        <f t="shared" si="49"/>
        <v>0</v>
      </c>
      <c r="AQ29" s="296">
        <f t="shared" si="49"/>
        <v>0</v>
      </c>
      <c r="AR29" s="296">
        <f t="shared" si="49"/>
        <v>0</v>
      </c>
      <c r="AS29" s="296">
        <f t="shared" si="49"/>
        <v>0</v>
      </c>
      <c r="AT29" s="296"/>
      <c r="AU29" s="296">
        <f t="shared" si="50"/>
        <v>0</v>
      </c>
      <c r="AV29" s="296">
        <f t="shared" si="50"/>
        <v>0</v>
      </c>
      <c r="AW29" s="296">
        <f t="shared" si="50"/>
        <v>0</v>
      </c>
      <c r="AX29" s="296">
        <f t="shared" si="50"/>
        <v>0</v>
      </c>
      <c r="AY29" s="296">
        <f t="shared" si="50"/>
        <v>0</v>
      </c>
      <c r="AZ29" s="296">
        <f t="shared" si="50"/>
        <v>0</v>
      </c>
      <c r="BA29" s="296">
        <f t="shared" si="50"/>
        <v>0</v>
      </c>
      <c r="BB29" s="296">
        <f t="shared" si="50"/>
        <v>0</v>
      </c>
      <c r="BC29" s="296">
        <f t="shared" si="50"/>
        <v>0</v>
      </c>
      <c r="BD29" s="296">
        <f t="shared" si="50"/>
        <v>0</v>
      </c>
      <c r="BE29" s="296">
        <f t="shared" si="50"/>
        <v>0</v>
      </c>
      <c r="BF29" s="296">
        <f t="shared" si="50"/>
        <v>0</v>
      </c>
      <c r="BG29" s="296">
        <f t="shared" si="50"/>
        <v>0</v>
      </c>
      <c r="BH29" s="296"/>
      <c r="BI29" s="296">
        <f t="shared" si="51"/>
        <v>0</v>
      </c>
      <c r="BJ29" s="296">
        <f t="shared" si="51"/>
        <v>0</v>
      </c>
      <c r="BK29" s="296">
        <f t="shared" si="51"/>
        <v>0</v>
      </c>
      <c r="BL29" s="296">
        <f t="shared" si="51"/>
        <v>0</v>
      </c>
      <c r="BM29" s="296">
        <f t="shared" si="51"/>
        <v>0</v>
      </c>
      <c r="BN29" s="296">
        <f t="shared" si="51"/>
        <v>0</v>
      </c>
      <c r="BO29" s="296">
        <f t="shared" si="51"/>
        <v>0</v>
      </c>
      <c r="BP29" s="296">
        <f t="shared" si="51"/>
        <v>0</v>
      </c>
      <c r="BQ29" s="296">
        <f t="shared" si="51"/>
        <v>0</v>
      </c>
      <c r="BR29" s="296">
        <f t="shared" si="51"/>
        <v>0</v>
      </c>
      <c r="BS29" s="296">
        <f t="shared" si="51"/>
        <v>0</v>
      </c>
      <c r="BT29" s="296">
        <f t="shared" si="51"/>
        <v>0</v>
      </c>
      <c r="BU29" s="296">
        <f t="shared" si="51"/>
        <v>0</v>
      </c>
      <c r="BV29" s="296"/>
      <c r="BW29" s="296">
        <f t="shared" si="52"/>
        <v>0</v>
      </c>
      <c r="BX29" s="296">
        <f t="shared" si="52"/>
        <v>0</v>
      </c>
      <c r="BY29" s="296">
        <f t="shared" si="52"/>
        <v>0</v>
      </c>
      <c r="BZ29" s="296">
        <f t="shared" si="52"/>
        <v>0</v>
      </c>
      <c r="CA29" s="296">
        <f t="shared" si="52"/>
        <v>0</v>
      </c>
      <c r="CB29" s="296">
        <f t="shared" si="52"/>
        <v>0</v>
      </c>
      <c r="CC29" s="296">
        <f t="shared" si="52"/>
        <v>0</v>
      </c>
      <c r="CD29" s="296">
        <f t="shared" si="52"/>
        <v>0</v>
      </c>
      <c r="CE29" s="296">
        <f t="shared" si="52"/>
        <v>0</v>
      </c>
      <c r="CF29" s="296">
        <f t="shared" si="52"/>
        <v>0</v>
      </c>
      <c r="CG29" s="296">
        <f t="shared" si="52"/>
        <v>0</v>
      </c>
      <c r="CH29" s="296">
        <f t="shared" si="52"/>
        <v>0</v>
      </c>
      <c r="CI29" s="296">
        <f t="shared" si="52"/>
        <v>0</v>
      </c>
      <c r="CJ29" s="296"/>
      <c r="CK29" s="296">
        <f t="shared" si="53"/>
        <v>0</v>
      </c>
      <c r="CL29" s="296">
        <f t="shared" si="53"/>
        <v>0</v>
      </c>
      <c r="CM29" s="296">
        <f t="shared" si="53"/>
        <v>0</v>
      </c>
      <c r="CN29" s="296">
        <f t="shared" si="53"/>
        <v>0</v>
      </c>
      <c r="CO29" s="296">
        <f t="shared" si="53"/>
        <v>0</v>
      </c>
      <c r="CP29" s="296">
        <f t="shared" si="53"/>
        <v>0</v>
      </c>
      <c r="CQ29" s="296">
        <f t="shared" si="53"/>
        <v>0</v>
      </c>
      <c r="CR29" s="296">
        <f t="shared" si="53"/>
        <v>0</v>
      </c>
      <c r="CS29" s="296">
        <f t="shared" si="53"/>
        <v>0</v>
      </c>
      <c r="CT29" s="296">
        <f t="shared" si="53"/>
        <v>0</v>
      </c>
      <c r="CU29" s="296">
        <f t="shared" si="53"/>
        <v>0</v>
      </c>
      <c r="CV29" s="296">
        <f t="shared" si="53"/>
        <v>0</v>
      </c>
      <c r="CW29" s="296">
        <f t="shared" si="53"/>
        <v>0</v>
      </c>
      <c r="CX29" s="296"/>
      <c r="CY29" s="296">
        <f t="shared" si="54"/>
        <v>0</v>
      </c>
      <c r="CZ29" s="296">
        <f t="shared" si="54"/>
        <v>0</v>
      </c>
      <c r="DA29" s="296">
        <f t="shared" si="54"/>
        <v>0</v>
      </c>
      <c r="DB29" s="296">
        <f t="shared" si="54"/>
        <v>0</v>
      </c>
      <c r="DC29" s="296">
        <f t="shared" si="54"/>
        <v>0</v>
      </c>
      <c r="DD29" s="296">
        <f t="shared" si="54"/>
        <v>0</v>
      </c>
      <c r="DE29" s="296">
        <f t="shared" si="54"/>
        <v>0</v>
      </c>
      <c r="DF29" s="296">
        <f t="shared" si="54"/>
        <v>0</v>
      </c>
      <c r="DG29" s="296">
        <f t="shared" si="54"/>
        <v>0</v>
      </c>
      <c r="DH29" s="296">
        <f t="shared" si="54"/>
        <v>0</v>
      </c>
      <c r="DI29" s="296">
        <f t="shared" si="54"/>
        <v>0</v>
      </c>
      <c r="DJ29" s="296">
        <f t="shared" si="54"/>
        <v>0</v>
      </c>
      <c r="DK29" s="296">
        <f t="shared" si="54"/>
        <v>0</v>
      </c>
      <c r="DL29" s="296"/>
      <c r="DM29" s="296">
        <f t="shared" si="55"/>
        <v>0</v>
      </c>
      <c r="DN29" s="296">
        <f t="shared" si="55"/>
        <v>0</v>
      </c>
      <c r="DO29" s="296">
        <f t="shared" si="55"/>
        <v>0</v>
      </c>
      <c r="DP29" s="296">
        <f t="shared" si="55"/>
        <v>0</v>
      </c>
      <c r="DQ29" s="296">
        <f t="shared" si="55"/>
        <v>0</v>
      </c>
      <c r="DR29" s="296">
        <f t="shared" si="55"/>
        <v>0</v>
      </c>
      <c r="DS29" s="296">
        <f t="shared" si="55"/>
        <v>0</v>
      </c>
      <c r="DT29" s="296">
        <f t="shared" si="55"/>
        <v>0</v>
      </c>
      <c r="DU29" s="296">
        <f t="shared" si="55"/>
        <v>0</v>
      </c>
      <c r="DV29" s="296">
        <f t="shared" si="55"/>
        <v>0</v>
      </c>
      <c r="DW29" s="296">
        <f t="shared" si="55"/>
        <v>0</v>
      </c>
      <c r="DX29" s="296">
        <f t="shared" si="55"/>
        <v>0</v>
      </c>
      <c r="DY29" s="296">
        <f t="shared" si="55"/>
        <v>0</v>
      </c>
      <c r="DZ29" s="296"/>
      <c r="EA29" s="296">
        <f t="shared" si="56"/>
        <v>0</v>
      </c>
      <c r="EB29" s="296">
        <f t="shared" si="56"/>
        <v>0</v>
      </c>
      <c r="EC29" s="296">
        <f t="shared" si="56"/>
        <v>0</v>
      </c>
      <c r="ED29" s="296">
        <f t="shared" si="56"/>
        <v>0</v>
      </c>
      <c r="EE29" s="296">
        <f t="shared" si="56"/>
        <v>0</v>
      </c>
      <c r="EF29" s="296">
        <f t="shared" si="56"/>
        <v>0</v>
      </c>
      <c r="EG29" s="296">
        <f t="shared" si="56"/>
        <v>0</v>
      </c>
      <c r="EH29" s="296">
        <f t="shared" si="56"/>
        <v>0</v>
      </c>
      <c r="EI29" s="296">
        <f t="shared" si="56"/>
        <v>0</v>
      </c>
      <c r="EJ29" s="296">
        <f t="shared" si="56"/>
        <v>0</v>
      </c>
      <c r="EK29" s="296">
        <f t="shared" si="56"/>
        <v>0</v>
      </c>
      <c r="EL29" s="296">
        <f t="shared" si="56"/>
        <v>0</v>
      </c>
      <c r="EM29" s="296">
        <f t="shared" si="56"/>
        <v>0</v>
      </c>
      <c r="EN29" s="296"/>
    </row>
    <row r="30" spans="2:144" s="289" customFormat="1" ht="18.95" customHeight="1">
      <c r="B30" s="290"/>
      <c r="C30" s="291"/>
      <c r="D30" s="291"/>
      <c r="E30" s="291"/>
      <c r="F30" s="248">
        <v>7300</v>
      </c>
      <c r="G30" s="246" t="s">
        <v>70</v>
      </c>
      <c r="H30" s="293"/>
      <c r="I30" s="293"/>
      <c r="J30" s="291"/>
      <c r="K30" s="291"/>
      <c r="L30" s="294"/>
      <c r="M30" s="293"/>
      <c r="N30" s="295"/>
      <c r="O30" s="293"/>
      <c r="P30" s="293"/>
      <c r="Q30" s="293"/>
      <c r="R30" s="296"/>
      <c r="S30" s="296">
        <f t="shared" si="48"/>
        <v>0</v>
      </c>
      <c r="T30" s="296">
        <f t="shared" si="48"/>
        <v>0</v>
      </c>
      <c r="U30" s="296">
        <f t="shared" si="48"/>
        <v>0</v>
      </c>
      <c r="V30" s="296">
        <f t="shared" si="48"/>
        <v>0</v>
      </c>
      <c r="W30" s="296">
        <f t="shared" si="48"/>
        <v>0</v>
      </c>
      <c r="X30" s="296">
        <f t="shared" si="48"/>
        <v>0</v>
      </c>
      <c r="Y30" s="296">
        <f t="shared" si="48"/>
        <v>0</v>
      </c>
      <c r="Z30" s="296">
        <f t="shared" si="48"/>
        <v>0</v>
      </c>
      <c r="AA30" s="296">
        <f t="shared" si="48"/>
        <v>0</v>
      </c>
      <c r="AB30" s="296">
        <f t="shared" si="48"/>
        <v>0</v>
      </c>
      <c r="AC30" s="296">
        <f t="shared" si="48"/>
        <v>0</v>
      </c>
      <c r="AD30" s="296">
        <f t="shared" si="48"/>
        <v>0</v>
      </c>
      <c r="AE30" s="296">
        <f t="shared" si="48"/>
        <v>0</v>
      </c>
      <c r="AF30" s="296"/>
      <c r="AG30" s="296">
        <f t="shared" si="49"/>
        <v>0</v>
      </c>
      <c r="AH30" s="296">
        <f t="shared" si="49"/>
        <v>0</v>
      </c>
      <c r="AI30" s="296">
        <f t="shared" si="49"/>
        <v>0</v>
      </c>
      <c r="AJ30" s="296">
        <f t="shared" si="49"/>
        <v>0</v>
      </c>
      <c r="AK30" s="296">
        <f t="shared" si="49"/>
        <v>0</v>
      </c>
      <c r="AL30" s="296">
        <f t="shared" si="49"/>
        <v>0</v>
      </c>
      <c r="AM30" s="296">
        <f t="shared" si="49"/>
        <v>0</v>
      </c>
      <c r="AN30" s="296">
        <f t="shared" si="49"/>
        <v>0</v>
      </c>
      <c r="AO30" s="296">
        <f t="shared" si="49"/>
        <v>0</v>
      </c>
      <c r="AP30" s="296">
        <f t="shared" si="49"/>
        <v>0</v>
      </c>
      <c r="AQ30" s="296">
        <f t="shared" si="49"/>
        <v>0</v>
      </c>
      <c r="AR30" s="296">
        <f t="shared" si="49"/>
        <v>0</v>
      </c>
      <c r="AS30" s="296">
        <f t="shared" si="49"/>
        <v>0</v>
      </c>
      <c r="AT30" s="296"/>
      <c r="AU30" s="296">
        <f t="shared" si="50"/>
        <v>0</v>
      </c>
      <c r="AV30" s="296">
        <f t="shared" si="50"/>
        <v>0</v>
      </c>
      <c r="AW30" s="296">
        <f t="shared" si="50"/>
        <v>0</v>
      </c>
      <c r="AX30" s="296">
        <f t="shared" si="50"/>
        <v>0</v>
      </c>
      <c r="AY30" s="296">
        <f t="shared" si="50"/>
        <v>0</v>
      </c>
      <c r="AZ30" s="296">
        <f t="shared" si="50"/>
        <v>0</v>
      </c>
      <c r="BA30" s="296">
        <f t="shared" si="50"/>
        <v>0</v>
      </c>
      <c r="BB30" s="296">
        <f t="shared" si="50"/>
        <v>0</v>
      </c>
      <c r="BC30" s="296">
        <f t="shared" si="50"/>
        <v>0</v>
      </c>
      <c r="BD30" s="296">
        <f t="shared" si="50"/>
        <v>0</v>
      </c>
      <c r="BE30" s="296">
        <f t="shared" si="50"/>
        <v>0</v>
      </c>
      <c r="BF30" s="296">
        <f t="shared" si="50"/>
        <v>0</v>
      </c>
      <c r="BG30" s="296">
        <f t="shared" si="50"/>
        <v>0</v>
      </c>
      <c r="BH30" s="296"/>
      <c r="BI30" s="296">
        <f t="shared" si="51"/>
        <v>0</v>
      </c>
      <c r="BJ30" s="296">
        <f t="shared" si="51"/>
        <v>0</v>
      </c>
      <c r="BK30" s="296">
        <f t="shared" si="51"/>
        <v>0</v>
      </c>
      <c r="BL30" s="296">
        <f t="shared" si="51"/>
        <v>0</v>
      </c>
      <c r="BM30" s="296">
        <f t="shared" si="51"/>
        <v>0</v>
      </c>
      <c r="BN30" s="296">
        <f t="shared" si="51"/>
        <v>0</v>
      </c>
      <c r="BO30" s="296">
        <f t="shared" si="51"/>
        <v>0</v>
      </c>
      <c r="BP30" s="296">
        <f t="shared" si="51"/>
        <v>0</v>
      </c>
      <c r="BQ30" s="296">
        <f t="shared" si="51"/>
        <v>0</v>
      </c>
      <c r="BR30" s="296">
        <f t="shared" si="51"/>
        <v>0</v>
      </c>
      <c r="BS30" s="296">
        <f t="shared" si="51"/>
        <v>0</v>
      </c>
      <c r="BT30" s="296">
        <f t="shared" si="51"/>
        <v>0</v>
      </c>
      <c r="BU30" s="296">
        <f t="shared" si="51"/>
        <v>0</v>
      </c>
      <c r="BV30" s="296"/>
      <c r="BW30" s="296">
        <f t="shared" si="52"/>
        <v>0</v>
      </c>
      <c r="BX30" s="296">
        <f t="shared" si="52"/>
        <v>0</v>
      </c>
      <c r="BY30" s="296">
        <f t="shared" si="52"/>
        <v>0</v>
      </c>
      <c r="BZ30" s="296">
        <f t="shared" si="52"/>
        <v>0</v>
      </c>
      <c r="CA30" s="296">
        <f t="shared" si="52"/>
        <v>0</v>
      </c>
      <c r="CB30" s="296">
        <f t="shared" si="52"/>
        <v>0</v>
      </c>
      <c r="CC30" s="296">
        <f t="shared" si="52"/>
        <v>0</v>
      </c>
      <c r="CD30" s="296">
        <f t="shared" si="52"/>
        <v>0</v>
      </c>
      <c r="CE30" s="296">
        <f t="shared" si="52"/>
        <v>0</v>
      </c>
      <c r="CF30" s="296">
        <f t="shared" si="52"/>
        <v>0</v>
      </c>
      <c r="CG30" s="296">
        <f t="shared" si="52"/>
        <v>0</v>
      </c>
      <c r="CH30" s="296">
        <f t="shared" si="52"/>
        <v>0</v>
      </c>
      <c r="CI30" s="296">
        <f t="shared" si="52"/>
        <v>0</v>
      </c>
      <c r="CJ30" s="296"/>
      <c r="CK30" s="296">
        <f t="shared" si="53"/>
        <v>0</v>
      </c>
      <c r="CL30" s="296">
        <f t="shared" si="53"/>
        <v>0</v>
      </c>
      <c r="CM30" s="296">
        <f t="shared" si="53"/>
        <v>0</v>
      </c>
      <c r="CN30" s="296">
        <f t="shared" si="53"/>
        <v>0</v>
      </c>
      <c r="CO30" s="296">
        <f t="shared" si="53"/>
        <v>0</v>
      </c>
      <c r="CP30" s="296">
        <f t="shared" si="53"/>
        <v>0</v>
      </c>
      <c r="CQ30" s="296">
        <f t="shared" si="53"/>
        <v>0</v>
      </c>
      <c r="CR30" s="296">
        <f t="shared" si="53"/>
        <v>0</v>
      </c>
      <c r="CS30" s="296">
        <f t="shared" si="53"/>
        <v>0</v>
      </c>
      <c r="CT30" s="296">
        <f t="shared" si="53"/>
        <v>0</v>
      </c>
      <c r="CU30" s="296">
        <f t="shared" si="53"/>
        <v>0</v>
      </c>
      <c r="CV30" s="296">
        <f t="shared" si="53"/>
        <v>0</v>
      </c>
      <c r="CW30" s="296">
        <f t="shared" si="53"/>
        <v>0</v>
      </c>
      <c r="CX30" s="296"/>
      <c r="CY30" s="296">
        <f t="shared" si="54"/>
        <v>0</v>
      </c>
      <c r="CZ30" s="296">
        <f t="shared" si="54"/>
        <v>0</v>
      </c>
      <c r="DA30" s="296">
        <f t="shared" si="54"/>
        <v>0</v>
      </c>
      <c r="DB30" s="296">
        <f t="shared" si="54"/>
        <v>0</v>
      </c>
      <c r="DC30" s="296">
        <f t="shared" si="54"/>
        <v>0</v>
      </c>
      <c r="DD30" s="296">
        <f t="shared" si="54"/>
        <v>0</v>
      </c>
      <c r="DE30" s="296">
        <f t="shared" si="54"/>
        <v>0</v>
      </c>
      <c r="DF30" s="296">
        <f t="shared" si="54"/>
        <v>0</v>
      </c>
      <c r="DG30" s="296">
        <f t="shared" si="54"/>
        <v>0</v>
      </c>
      <c r="DH30" s="296">
        <f t="shared" si="54"/>
        <v>0</v>
      </c>
      <c r="DI30" s="296">
        <f t="shared" si="54"/>
        <v>0</v>
      </c>
      <c r="DJ30" s="296">
        <f t="shared" si="54"/>
        <v>0</v>
      </c>
      <c r="DK30" s="296">
        <f t="shared" si="54"/>
        <v>0</v>
      </c>
      <c r="DL30" s="296"/>
      <c r="DM30" s="296">
        <f t="shared" si="55"/>
        <v>0</v>
      </c>
      <c r="DN30" s="296">
        <f t="shared" si="55"/>
        <v>0</v>
      </c>
      <c r="DO30" s="296">
        <f t="shared" si="55"/>
        <v>0</v>
      </c>
      <c r="DP30" s="296">
        <f t="shared" si="55"/>
        <v>0</v>
      </c>
      <c r="DQ30" s="296">
        <f t="shared" si="55"/>
        <v>0</v>
      </c>
      <c r="DR30" s="296">
        <f t="shared" si="55"/>
        <v>0</v>
      </c>
      <c r="DS30" s="296">
        <f t="shared" si="55"/>
        <v>0</v>
      </c>
      <c r="DT30" s="296">
        <f t="shared" si="55"/>
        <v>0</v>
      </c>
      <c r="DU30" s="296">
        <f t="shared" si="55"/>
        <v>0</v>
      </c>
      <c r="DV30" s="296">
        <f t="shared" si="55"/>
        <v>0</v>
      </c>
      <c r="DW30" s="296">
        <f t="shared" si="55"/>
        <v>0</v>
      </c>
      <c r="DX30" s="296">
        <f t="shared" si="55"/>
        <v>0</v>
      </c>
      <c r="DY30" s="296">
        <f t="shared" si="55"/>
        <v>0</v>
      </c>
      <c r="DZ30" s="296"/>
      <c r="EA30" s="296">
        <f t="shared" si="56"/>
        <v>0</v>
      </c>
      <c r="EB30" s="296">
        <f t="shared" si="56"/>
        <v>0</v>
      </c>
      <c r="EC30" s="296">
        <f t="shared" si="56"/>
        <v>0</v>
      </c>
      <c r="ED30" s="296">
        <f t="shared" si="56"/>
        <v>0</v>
      </c>
      <c r="EE30" s="296">
        <f t="shared" si="56"/>
        <v>0</v>
      </c>
      <c r="EF30" s="296">
        <f t="shared" si="56"/>
        <v>0</v>
      </c>
      <c r="EG30" s="296">
        <f t="shared" si="56"/>
        <v>0</v>
      </c>
      <c r="EH30" s="296">
        <f t="shared" si="56"/>
        <v>0</v>
      </c>
      <c r="EI30" s="296">
        <f t="shared" si="56"/>
        <v>0</v>
      </c>
      <c r="EJ30" s="296">
        <f t="shared" si="56"/>
        <v>0</v>
      </c>
      <c r="EK30" s="296">
        <f t="shared" si="56"/>
        <v>0</v>
      </c>
      <c r="EL30" s="296">
        <f t="shared" si="56"/>
        <v>0</v>
      </c>
      <c r="EM30" s="296">
        <f t="shared" si="56"/>
        <v>0</v>
      </c>
      <c r="EN30" s="296"/>
    </row>
    <row r="31" spans="2:144" s="289" customFormat="1" ht="18.95" customHeight="1">
      <c r="B31" s="290"/>
      <c r="C31" s="291"/>
      <c r="D31" s="291"/>
      <c r="E31" s="291"/>
      <c r="F31" s="248">
        <v>8200</v>
      </c>
      <c r="G31" s="246" t="s">
        <v>72</v>
      </c>
      <c r="H31" s="293"/>
      <c r="I31" s="293"/>
      <c r="J31" s="291"/>
      <c r="K31" s="291"/>
      <c r="L31" s="294"/>
      <c r="M31" s="293"/>
      <c r="N31" s="295"/>
      <c r="O31" s="293"/>
      <c r="P31" s="293"/>
      <c r="Q31" s="293"/>
      <c r="R31" s="296"/>
      <c r="S31" s="296">
        <f t="shared" si="48"/>
        <v>0</v>
      </c>
      <c r="T31" s="296">
        <f t="shared" si="48"/>
        <v>0</v>
      </c>
      <c r="U31" s="296">
        <f t="shared" si="48"/>
        <v>0</v>
      </c>
      <c r="V31" s="296">
        <f t="shared" si="48"/>
        <v>0</v>
      </c>
      <c r="W31" s="296">
        <f t="shared" si="48"/>
        <v>0</v>
      </c>
      <c r="X31" s="296">
        <f t="shared" si="48"/>
        <v>0</v>
      </c>
      <c r="Y31" s="296">
        <f t="shared" si="48"/>
        <v>0</v>
      </c>
      <c r="Z31" s="296">
        <f t="shared" si="48"/>
        <v>0</v>
      </c>
      <c r="AA31" s="296">
        <f t="shared" si="48"/>
        <v>0</v>
      </c>
      <c r="AB31" s="296">
        <f t="shared" si="48"/>
        <v>0</v>
      </c>
      <c r="AC31" s="296">
        <f t="shared" si="48"/>
        <v>0</v>
      </c>
      <c r="AD31" s="296">
        <f t="shared" si="48"/>
        <v>0</v>
      </c>
      <c r="AE31" s="296">
        <f t="shared" si="48"/>
        <v>0</v>
      </c>
      <c r="AF31" s="296"/>
      <c r="AG31" s="296">
        <f t="shared" si="49"/>
        <v>0</v>
      </c>
      <c r="AH31" s="296">
        <f t="shared" si="49"/>
        <v>0</v>
      </c>
      <c r="AI31" s="296">
        <f t="shared" si="49"/>
        <v>0</v>
      </c>
      <c r="AJ31" s="296">
        <f t="shared" si="49"/>
        <v>0</v>
      </c>
      <c r="AK31" s="296">
        <f t="shared" si="49"/>
        <v>0</v>
      </c>
      <c r="AL31" s="296">
        <f t="shared" si="49"/>
        <v>0</v>
      </c>
      <c r="AM31" s="296">
        <f t="shared" si="49"/>
        <v>0</v>
      </c>
      <c r="AN31" s="296">
        <f t="shared" si="49"/>
        <v>0</v>
      </c>
      <c r="AO31" s="296">
        <f t="shared" si="49"/>
        <v>0</v>
      </c>
      <c r="AP31" s="296">
        <f t="shared" si="49"/>
        <v>0</v>
      </c>
      <c r="AQ31" s="296">
        <f t="shared" si="49"/>
        <v>0</v>
      </c>
      <c r="AR31" s="296">
        <f t="shared" si="49"/>
        <v>0</v>
      </c>
      <c r="AS31" s="296">
        <f t="shared" si="49"/>
        <v>0</v>
      </c>
      <c r="AT31" s="296"/>
      <c r="AU31" s="296">
        <f t="shared" si="50"/>
        <v>3915.454545454545</v>
      </c>
      <c r="AV31" s="296">
        <f t="shared" si="50"/>
        <v>3915.454545454545</v>
      </c>
      <c r="AW31" s="296">
        <f t="shared" si="50"/>
        <v>3915.454545454545</v>
      </c>
      <c r="AX31" s="296">
        <f t="shared" si="50"/>
        <v>3915.454545454545</v>
      </c>
      <c r="AY31" s="296">
        <f t="shared" si="50"/>
        <v>3915.454545454545</v>
      </c>
      <c r="AZ31" s="296">
        <f t="shared" si="50"/>
        <v>3915.454545454545</v>
      </c>
      <c r="BA31" s="296">
        <f t="shared" si="50"/>
        <v>3915.454545454545</v>
      </c>
      <c r="BB31" s="296">
        <f t="shared" si="50"/>
        <v>3915.454545454545</v>
      </c>
      <c r="BC31" s="296">
        <f t="shared" si="50"/>
        <v>3915.454545454545</v>
      </c>
      <c r="BD31" s="296">
        <f t="shared" si="50"/>
        <v>3915.454545454545</v>
      </c>
      <c r="BE31" s="296">
        <f t="shared" si="50"/>
        <v>3915.454545454545</v>
      </c>
      <c r="BF31" s="296">
        <f t="shared" si="50"/>
        <v>3915.454545454545</v>
      </c>
      <c r="BG31" s="296">
        <f t="shared" si="50"/>
        <v>46985.454545454537</v>
      </c>
      <c r="BH31" s="296"/>
      <c r="BI31" s="296">
        <f t="shared" si="51"/>
        <v>450</v>
      </c>
      <c r="BJ31" s="296">
        <f t="shared" si="51"/>
        <v>450</v>
      </c>
      <c r="BK31" s="296">
        <f t="shared" si="51"/>
        <v>450</v>
      </c>
      <c r="BL31" s="296">
        <f t="shared" si="51"/>
        <v>450</v>
      </c>
      <c r="BM31" s="296">
        <f t="shared" si="51"/>
        <v>450</v>
      </c>
      <c r="BN31" s="296">
        <f t="shared" si="51"/>
        <v>450</v>
      </c>
      <c r="BO31" s="296">
        <f t="shared" si="51"/>
        <v>450</v>
      </c>
      <c r="BP31" s="296">
        <f t="shared" si="51"/>
        <v>450</v>
      </c>
      <c r="BQ31" s="296">
        <f t="shared" si="51"/>
        <v>450</v>
      </c>
      <c r="BR31" s="296">
        <f t="shared" si="51"/>
        <v>450</v>
      </c>
      <c r="BS31" s="296">
        <f t="shared" si="51"/>
        <v>450</v>
      </c>
      <c r="BT31" s="296">
        <f t="shared" si="51"/>
        <v>450</v>
      </c>
      <c r="BU31" s="296">
        <f t="shared" si="51"/>
        <v>5400</v>
      </c>
      <c r="BV31" s="296"/>
      <c r="BW31" s="296">
        <f t="shared" si="52"/>
        <v>1666.6666666666667</v>
      </c>
      <c r="BX31" s="296">
        <f t="shared" si="52"/>
        <v>1666.6666666666667</v>
      </c>
      <c r="BY31" s="296">
        <f t="shared" si="52"/>
        <v>1666.6666666666667</v>
      </c>
      <c r="BZ31" s="296">
        <f t="shared" si="52"/>
        <v>1666.6666666666667</v>
      </c>
      <c r="CA31" s="296">
        <f t="shared" si="52"/>
        <v>1666.6666666666667</v>
      </c>
      <c r="CB31" s="296">
        <f t="shared" si="52"/>
        <v>1666.6666666666667</v>
      </c>
      <c r="CC31" s="296">
        <f t="shared" si="52"/>
        <v>1666.6666666666667</v>
      </c>
      <c r="CD31" s="296">
        <f t="shared" si="52"/>
        <v>1666.6666666666667</v>
      </c>
      <c r="CE31" s="296">
        <f t="shared" si="52"/>
        <v>1666.6666666666667</v>
      </c>
      <c r="CF31" s="296">
        <f t="shared" si="52"/>
        <v>1666.6666666666667</v>
      </c>
      <c r="CG31" s="296">
        <f t="shared" si="52"/>
        <v>1666.6666666666667</v>
      </c>
      <c r="CH31" s="296">
        <f t="shared" si="52"/>
        <v>1666.6666666666667</v>
      </c>
      <c r="CI31" s="296">
        <f t="shared" si="52"/>
        <v>20000</v>
      </c>
      <c r="CJ31" s="296"/>
      <c r="CK31" s="296">
        <f t="shared" si="53"/>
        <v>83.333333333333329</v>
      </c>
      <c r="CL31" s="296">
        <f t="shared" si="53"/>
        <v>83.333333333333329</v>
      </c>
      <c r="CM31" s="296">
        <f t="shared" si="53"/>
        <v>83.333333333333329</v>
      </c>
      <c r="CN31" s="296">
        <f t="shared" si="53"/>
        <v>83.333333333333329</v>
      </c>
      <c r="CO31" s="296">
        <f t="shared" si="53"/>
        <v>83.333333333333329</v>
      </c>
      <c r="CP31" s="296">
        <f t="shared" si="53"/>
        <v>83.333333333333329</v>
      </c>
      <c r="CQ31" s="296">
        <f t="shared" si="53"/>
        <v>83.333333333333329</v>
      </c>
      <c r="CR31" s="296">
        <f t="shared" si="53"/>
        <v>83.333333333333329</v>
      </c>
      <c r="CS31" s="296">
        <f t="shared" si="53"/>
        <v>83.333333333333329</v>
      </c>
      <c r="CT31" s="296">
        <f t="shared" si="53"/>
        <v>83.333333333333329</v>
      </c>
      <c r="CU31" s="296">
        <f t="shared" si="53"/>
        <v>83.333333333333329</v>
      </c>
      <c r="CV31" s="296">
        <f t="shared" si="53"/>
        <v>83.333333333333329</v>
      </c>
      <c r="CW31" s="296">
        <f t="shared" si="53"/>
        <v>1000.0000000000001</v>
      </c>
      <c r="CX31" s="296"/>
      <c r="CY31" s="296">
        <f t="shared" si="54"/>
        <v>2408</v>
      </c>
      <c r="CZ31" s="296">
        <f t="shared" si="54"/>
        <v>2408</v>
      </c>
      <c r="DA31" s="296">
        <f t="shared" si="54"/>
        <v>2408</v>
      </c>
      <c r="DB31" s="296">
        <f t="shared" si="54"/>
        <v>2408</v>
      </c>
      <c r="DC31" s="296">
        <f t="shared" si="54"/>
        <v>2408</v>
      </c>
      <c r="DD31" s="296">
        <f t="shared" si="54"/>
        <v>2408</v>
      </c>
      <c r="DE31" s="296">
        <f t="shared" si="54"/>
        <v>2408</v>
      </c>
      <c r="DF31" s="296">
        <f t="shared" si="54"/>
        <v>2408</v>
      </c>
      <c r="DG31" s="296">
        <f t="shared" si="54"/>
        <v>2408</v>
      </c>
      <c r="DH31" s="296">
        <f t="shared" si="54"/>
        <v>2408</v>
      </c>
      <c r="DI31" s="296">
        <f t="shared" si="54"/>
        <v>2408</v>
      </c>
      <c r="DJ31" s="296">
        <f t="shared" si="54"/>
        <v>2408</v>
      </c>
      <c r="DK31" s="296">
        <f t="shared" si="54"/>
        <v>28896</v>
      </c>
      <c r="DL31" s="296"/>
      <c r="DM31" s="296">
        <f t="shared" si="55"/>
        <v>3000</v>
      </c>
      <c r="DN31" s="296">
        <f t="shared" si="55"/>
        <v>0</v>
      </c>
      <c r="DO31" s="296">
        <f t="shared" si="55"/>
        <v>0</v>
      </c>
      <c r="DP31" s="296">
        <f t="shared" si="55"/>
        <v>0</v>
      </c>
      <c r="DQ31" s="296">
        <f t="shared" si="55"/>
        <v>0</v>
      </c>
      <c r="DR31" s="296">
        <f t="shared" si="55"/>
        <v>0</v>
      </c>
      <c r="DS31" s="296">
        <f t="shared" si="55"/>
        <v>0</v>
      </c>
      <c r="DT31" s="296">
        <f t="shared" si="55"/>
        <v>0</v>
      </c>
      <c r="DU31" s="296">
        <f t="shared" si="55"/>
        <v>0</v>
      </c>
      <c r="DV31" s="296">
        <f t="shared" si="55"/>
        <v>0</v>
      </c>
      <c r="DW31" s="296">
        <f t="shared" si="55"/>
        <v>0</v>
      </c>
      <c r="DX31" s="296">
        <f t="shared" si="55"/>
        <v>0</v>
      </c>
      <c r="DY31" s="296">
        <f t="shared" si="55"/>
        <v>3000</v>
      </c>
      <c r="DZ31" s="296"/>
      <c r="EA31" s="296">
        <f t="shared" si="56"/>
        <v>11523.454545454544</v>
      </c>
      <c r="EB31" s="296">
        <f t="shared" si="56"/>
        <v>8523.4545454545441</v>
      </c>
      <c r="EC31" s="296">
        <f t="shared" si="56"/>
        <v>8523.4545454545441</v>
      </c>
      <c r="ED31" s="296">
        <f t="shared" si="56"/>
        <v>8523.4545454545441</v>
      </c>
      <c r="EE31" s="296">
        <f t="shared" si="56"/>
        <v>8523.4545454545441</v>
      </c>
      <c r="EF31" s="296">
        <f t="shared" si="56"/>
        <v>8523.4545454545441</v>
      </c>
      <c r="EG31" s="296">
        <f t="shared" si="56"/>
        <v>8523.4545454545441</v>
      </c>
      <c r="EH31" s="296">
        <f t="shared" si="56"/>
        <v>8523.4545454545441</v>
      </c>
      <c r="EI31" s="296">
        <f t="shared" si="56"/>
        <v>8523.4545454545441</v>
      </c>
      <c r="EJ31" s="296">
        <f t="shared" si="56"/>
        <v>8523.4545454545441</v>
      </c>
      <c r="EK31" s="296">
        <f t="shared" si="56"/>
        <v>8523.4545454545441</v>
      </c>
      <c r="EL31" s="296">
        <f t="shared" si="56"/>
        <v>8523.4545454545441</v>
      </c>
      <c r="EM31" s="296">
        <f t="shared" si="56"/>
        <v>105281.45454545453</v>
      </c>
      <c r="EN31" s="296"/>
    </row>
    <row r="32" spans="2:144" s="289" customFormat="1" ht="18.95" customHeight="1">
      <c r="B32" s="290"/>
      <c r="C32" s="291"/>
      <c r="D32" s="291"/>
      <c r="E32" s="291"/>
      <c r="F32" s="248">
        <v>8300</v>
      </c>
      <c r="G32" s="246" t="s">
        <v>73</v>
      </c>
      <c r="H32" s="293"/>
      <c r="I32" s="293"/>
      <c r="J32" s="291"/>
      <c r="K32" s="291"/>
      <c r="L32" s="294"/>
      <c r="M32" s="293"/>
      <c r="N32" s="295"/>
      <c r="O32" s="293"/>
      <c r="P32" s="293"/>
      <c r="Q32" s="293"/>
      <c r="R32" s="296"/>
      <c r="S32" s="296">
        <f t="shared" si="48"/>
        <v>0</v>
      </c>
      <c r="T32" s="296">
        <f t="shared" si="48"/>
        <v>0</v>
      </c>
      <c r="U32" s="296">
        <f t="shared" si="48"/>
        <v>0</v>
      </c>
      <c r="V32" s="296">
        <f t="shared" si="48"/>
        <v>0</v>
      </c>
      <c r="W32" s="296">
        <f t="shared" si="48"/>
        <v>0</v>
      </c>
      <c r="X32" s="296">
        <f t="shared" si="48"/>
        <v>0</v>
      </c>
      <c r="Y32" s="296">
        <f t="shared" si="48"/>
        <v>0</v>
      </c>
      <c r="Z32" s="296">
        <f t="shared" si="48"/>
        <v>0</v>
      </c>
      <c r="AA32" s="296">
        <f t="shared" si="48"/>
        <v>0</v>
      </c>
      <c r="AB32" s="296">
        <f t="shared" si="48"/>
        <v>0</v>
      </c>
      <c r="AC32" s="296">
        <f t="shared" si="48"/>
        <v>0</v>
      </c>
      <c r="AD32" s="296">
        <f t="shared" si="48"/>
        <v>0</v>
      </c>
      <c r="AE32" s="296">
        <f t="shared" si="48"/>
        <v>0</v>
      </c>
      <c r="AF32" s="296"/>
      <c r="AG32" s="296">
        <f t="shared" si="49"/>
        <v>0</v>
      </c>
      <c r="AH32" s="296">
        <f t="shared" si="49"/>
        <v>0</v>
      </c>
      <c r="AI32" s="296">
        <f t="shared" si="49"/>
        <v>0</v>
      </c>
      <c r="AJ32" s="296">
        <f t="shared" si="49"/>
        <v>0</v>
      </c>
      <c r="AK32" s="296">
        <f t="shared" si="49"/>
        <v>0</v>
      </c>
      <c r="AL32" s="296">
        <f t="shared" si="49"/>
        <v>0</v>
      </c>
      <c r="AM32" s="296">
        <f t="shared" si="49"/>
        <v>0</v>
      </c>
      <c r="AN32" s="296">
        <f t="shared" si="49"/>
        <v>0</v>
      </c>
      <c r="AO32" s="296">
        <f t="shared" si="49"/>
        <v>0</v>
      </c>
      <c r="AP32" s="296">
        <f t="shared" si="49"/>
        <v>0</v>
      </c>
      <c r="AQ32" s="296">
        <f t="shared" si="49"/>
        <v>0</v>
      </c>
      <c r="AR32" s="296">
        <f t="shared" si="49"/>
        <v>0</v>
      </c>
      <c r="AS32" s="296">
        <f t="shared" si="49"/>
        <v>0</v>
      </c>
      <c r="AT32" s="296"/>
      <c r="AU32" s="296">
        <f t="shared" si="50"/>
        <v>0</v>
      </c>
      <c r="AV32" s="296">
        <f t="shared" si="50"/>
        <v>0</v>
      </c>
      <c r="AW32" s="296">
        <f t="shared" si="50"/>
        <v>0</v>
      </c>
      <c r="AX32" s="296">
        <f t="shared" si="50"/>
        <v>0</v>
      </c>
      <c r="AY32" s="296">
        <f t="shared" si="50"/>
        <v>0</v>
      </c>
      <c r="AZ32" s="296">
        <f t="shared" si="50"/>
        <v>0</v>
      </c>
      <c r="BA32" s="296">
        <f t="shared" si="50"/>
        <v>0</v>
      </c>
      <c r="BB32" s="296">
        <f t="shared" si="50"/>
        <v>0</v>
      </c>
      <c r="BC32" s="296">
        <f t="shared" si="50"/>
        <v>0</v>
      </c>
      <c r="BD32" s="296">
        <f t="shared" si="50"/>
        <v>0</v>
      </c>
      <c r="BE32" s="296">
        <f t="shared" si="50"/>
        <v>0</v>
      </c>
      <c r="BF32" s="296">
        <f t="shared" si="50"/>
        <v>0</v>
      </c>
      <c r="BG32" s="296">
        <f t="shared" si="50"/>
        <v>0</v>
      </c>
      <c r="BH32" s="296"/>
      <c r="BI32" s="296">
        <f t="shared" si="51"/>
        <v>0</v>
      </c>
      <c r="BJ32" s="296">
        <f t="shared" si="51"/>
        <v>0</v>
      </c>
      <c r="BK32" s="296">
        <f t="shared" si="51"/>
        <v>0</v>
      </c>
      <c r="BL32" s="296">
        <f t="shared" si="51"/>
        <v>0</v>
      </c>
      <c r="BM32" s="296">
        <f t="shared" si="51"/>
        <v>0</v>
      </c>
      <c r="BN32" s="296">
        <f t="shared" si="51"/>
        <v>0</v>
      </c>
      <c r="BO32" s="296">
        <f t="shared" si="51"/>
        <v>0</v>
      </c>
      <c r="BP32" s="296">
        <f t="shared" si="51"/>
        <v>0</v>
      </c>
      <c r="BQ32" s="296">
        <f t="shared" si="51"/>
        <v>0</v>
      </c>
      <c r="BR32" s="296">
        <f t="shared" si="51"/>
        <v>0</v>
      </c>
      <c r="BS32" s="296">
        <f t="shared" si="51"/>
        <v>0</v>
      </c>
      <c r="BT32" s="296">
        <f t="shared" si="51"/>
        <v>0</v>
      </c>
      <c r="BU32" s="296">
        <f t="shared" si="51"/>
        <v>0</v>
      </c>
      <c r="BV32" s="296"/>
      <c r="BW32" s="296">
        <f t="shared" si="52"/>
        <v>0</v>
      </c>
      <c r="BX32" s="296">
        <f t="shared" si="52"/>
        <v>0</v>
      </c>
      <c r="BY32" s="296">
        <f t="shared" si="52"/>
        <v>0</v>
      </c>
      <c r="BZ32" s="296">
        <f t="shared" si="52"/>
        <v>0</v>
      </c>
      <c r="CA32" s="296">
        <f t="shared" si="52"/>
        <v>0</v>
      </c>
      <c r="CB32" s="296">
        <f t="shared" si="52"/>
        <v>0</v>
      </c>
      <c r="CC32" s="296">
        <f t="shared" si="52"/>
        <v>0</v>
      </c>
      <c r="CD32" s="296">
        <f t="shared" si="52"/>
        <v>0</v>
      </c>
      <c r="CE32" s="296">
        <f t="shared" si="52"/>
        <v>0</v>
      </c>
      <c r="CF32" s="296">
        <f t="shared" si="52"/>
        <v>0</v>
      </c>
      <c r="CG32" s="296">
        <f t="shared" si="52"/>
        <v>0</v>
      </c>
      <c r="CH32" s="296">
        <f t="shared" si="52"/>
        <v>0</v>
      </c>
      <c r="CI32" s="296">
        <f t="shared" si="52"/>
        <v>0</v>
      </c>
      <c r="CJ32" s="296"/>
      <c r="CK32" s="296">
        <f t="shared" si="53"/>
        <v>0</v>
      </c>
      <c r="CL32" s="296">
        <f t="shared" si="53"/>
        <v>0</v>
      </c>
      <c r="CM32" s="296">
        <f t="shared" si="53"/>
        <v>0</v>
      </c>
      <c r="CN32" s="296">
        <f t="shared" si="53"/>
        <v>0</v>
      </c>
      <c r="CO32" s="296">
        <f t="shared" si="53"/>
        <v>0</v>
      </c>
      <c r="CP32" s="296">
        <f t="shared" si="53"/>
        <v>0</v>
      </c>
      <c r="CQ32" s="296">
        <f t="shared" si="53"/>
        <v>0</v>
      </c>
      <c r="CR32" s="296">
        <f t="shared" si="53"/>
        <v>0</v>
      </c>
      <c r="CS32" s="296">
        <f t="shared" si="53"/>
        <v>0</v>
      </c>
      <c r="CT32" s="296">
        <f t="shared" si="53"/>
        <v>0</v>
      </c>
      <c r="CU32" s="296">
        <f t="shared" si="53"/>
        <v>0</v>
      </c>
      <c r="CV32" s="296">
        <f t="shared" si="53"/>
        <v>0</v>
      </c>
      <c r="CW32" s="296">
        <f t="shared" si="53"/>
        <v>0</v>
      </c>
      <c r="CX32" s="296"/>
      <c r="CY32" s="296">
        <f t="shared" si="54"/>
        <v>0</v>
      </c>
      <c r="CZ32" s="296">
        <f t="shared" si="54"/>
        <v>0</v>
      </c>
      <c r="DA32" s="296">
        <f t="shared" si="54"/>
        <v>0</v>
      </c>
      <c r="DB32" s="296">
        <f t="shared" si="54"/>
        <v>0</v>
      </c>
      <c r="DC32" s="296">
        <f t="shared" si="54"/>
        <v>0</v>
      </c>
      <c r="DD32" s="296">
        <f t="shared" si="54"/>
        <v>0</v>
      </c>
      <c r="DE32" s="296">
        <f t="shared" si="54"/>
        <v>0</v>
      </c>
      <c r="DF32" s="296">
        <f t="shared" si="54"/>
        <v>0</v>
      </c>
      <c r="DG32" s="296">
        <f t="shared" si="54"/>
        <v>0</v>
      </c>
      <c r="DH32" s="296">
        <f t="shared" si="54"/>
        <v>0</v>
      </c>
      <c r="DI32" s="296">
        <f t="shared" si="54"/>
        <v>0</v>
      </c>
      <c r="DJ32" s="296">
        <f t="shared" si="54"/>
        <v>0</v>
      </c>
      <c r="DK32" s="296">
        <f t="shared" si="54"/>
        <v>0</v>
      </c>
      <c r="DL32" s="296"/>
      <c r="DM32" s="296">
        <f t="shared" si="55"/>
        <v>0</v>
      </c>
      <c r="DN32" s="296">
        <f t="shared" si="55"/>
        <v>0</v>
      </c>
      <c r="DO32" s="296">
        <f t="shared" si="55"/>
        <v>0</v>
      </c>
      <c r="DP32" s="296">
        <f t="shared" si="55"/>
        <v>0</v>
      </c>
      <c r="DQ32" s="296">
        <f t="shared" si="55"/>
        <v>0</v>
      </c>
      <c r="DR32" s="296">
        <f t="shared" si="55"/>
        <v>0</v>
      </c>
      <c r="DS32" s="296">
        <f t="shared" si="55"/>
        <v>0</v>
      </c>
      <c r="DT32" s="296">
        <f t="shared" si="55"/>
        <v>0</v>
      </c>
      <c r="DU32" s="296">
        <f t="shared" si="55"/>
        <v>0</v>
      </c>
      <c r="DV32" s="296">
        <f t="shared" si="55"/>
        <v>0</v>
      </c>
      <c r="DW32" s="296">
        <f t="shared" si="55"/>
        <v>0</v>
      </c>
      <c r="DX32" s="296">
        <f t="shared" si="55"/>
        <v>0</v>
      </c>
      <c r="DY32" s="296">
        <f t="shared" si="55"/>
        <v>0</v>
      </c>
      <c r="DZ32" s="296"/>
      <c r="EA32" s="296">
        <f t="shared" si="56"/>
        <v>0</v>
      </c>
      <c r="EB32" s="296">
        <f t="shared" si="56"/>
        <v>0</v>
      </c>
      <c r="EC32" s="296">
        <f t="shared" si="56"/>
        <v>0</v>
      </c>
      <c r="ED32" s="296">
        <f t="shared" si="56"/>
        <v>0</v>
      </c>
      <c r="EE32" s="296">
        <f t="shared" si="56"/>
        <v>0</v>
      </c>
      <c r="EF32" s="296">
        <f t="shared" si="56"/>
        <v>0</v>
      </c>
      <c r="EG32" s="296">
        <f t="shared" si="56"/>
        <v>0</v>
      </c>
      <c r="EH32" s="296">
        <f t="shared" si="56"/>
        <v>0</v>
      </c>
      <c r="EI32" s="296">
        <f t="shared" si="56"/>
        <v>0</v>
      </c>
      <c r="EJ32" s="296">
        <f t="shared" si="56"/>
        <v>0</v>
      </c>
      <c r="EK32" s="296">
        <f t="shared" si="56"/>
        <v>0</v>
      </c>
      <c r="EL32" s="296">
        <f t="shared" si="56"/>
        <v>0</v>
      </c>
      <c r="EM32" s="296">
        <f t="shared" si="56"/>
        <v>0</v>
      </c>
      <c r="EN32" s="296"/>
    </row>
    <row r="33" spans="2:144" s="289" customFormat="1" ht="18.95" customHeight="1">
      <c r="B33" s="290"/>
      <c r="C33" s="291"/>
      <c r="D33" s="291"/>
      <c r="E33" s="291"/>
      <c r="F33" s="248">
        <v>9100</v>
      </c>
      <c r="G33" s="246" t="s">
        <v>74</v>
      </c>
      <c r="H33" s="293"/>
      <c r="I33" s="293"/>
      <c r="J33" s="291"/>
      <c r="K33" s="291"/>
      <c r="L33" s="294"/>
      <c r="M33" s="293"/>
      <c r="N33" s="295"/>
      <c r="O33" s="293"/>
      <c r="P33" s="293"/>
      <c r="Q33" s="293"/>
      <c r="R33" s="296"/>
      <c r="S33" s="296">
        <f t="shared" si="48"/>
        <v>0</v>
      </c>
      <c r="T33" s="296">
        <f t="shared" si="48"/>
        <v>0</v>
      </c>
      <c r="U33" s="296">
        <f t="shared" si="48"/>
        <v>0</v>
      </c>
      <c r="V33" s="296">
        <f t="shared" si="48"/>
        <v>0</v>
      </c>
      <c r="W33" s="296">
        <f t="shared" si="48"/>
        <v>0</v>
      </c>
      <c r="X33" s="296">
        <f t="shared" si="48"/>
        <v>0</v>
      </c>
      <c r="Y33" s="296">
        <f t="shared" si="48"/>
        <v>0</v>
      </c>
      <c r="Z33" s="296">
        <f t="shared" si="48"/>
        <v>0</v>
      </c>
      <c r="AA33" s="296">
        <f t="shared" si="48"/>
        <v>0</v>
      </c>
      <c r="AB33" s="296">
        <f t="shared" si="48"/>
        <v>0</v>
      </c>
      <c r="AC33" s="296">
        <f t="shared" si="48"/>
        <v>0</v>
      </c>
      <c r="AD33" s="296">
        <f t="shared" si="48"/>
        <v>0</v>
      </c>
      <c r="AE33" s="296">
        <f t="shared" si="48"/>
        <v>0</v>
      </c>
      <c r="AF33" s="296"/>
      <c r="AG33" s="296">
        <f t="shared" si="49"/>
        <v>0</v>
      </c>
      <c r="AH33" s="296">
        <f t="shared" si="49"/>
        <v>0</v>
      </c>
      <c r="AI33" s="296">
        <f t="shared" si="49"/>
        <v>0</v>
      </c>
      <c r="AJ33" s="296">
        <f t="shared" si="49"/>
        <v>0</v>
      </c>
      <c r="AK33" s="296">
        <f t="shared" si="49"/>
        <v>0</v>
      </c>
      <c r="AL33" s="296">
        <f t="shared" si="49"/>
        <v>0</v>
      </c>
      <c r="AM33" s="296">
        <f t="shared" si="49"/>
        <v>0</v>
      </c>
      <c r="AN33" s="296">
        <f t="shared" si="49"/>
        <v>0</v>
      </c>
      <c r="AO33" s="296">
        <f t="shared" si="49"/>
        <v>0</v>
      </c>
      <c r="AP33" s="296">
        <f t="shared" si="49"/>
        <v>0</v>
      </c>
      <c r="AQ33" s="296">
        <f t="shared" si="49"/>
        <v>0</v>
      </c>
      <c r="AR33" s="296">
        <f t="shared" si="49"/>
        <v>0</v>
      </c>
      <c r="AS33" s="296">
        <f t="shared" si="49"/>
        <v>0</v>
      </c>
      <c r="AT33" s="296"/>
      <c r="AU33" s="296">
        <f t="shared" si="50"/>
        <v>0</v>
      </c>
      <c r="AV33" s="296">
        <f t="shared" si="50"/>
        <v>0</v>
      </c>
      <c r="AW33" s="296">
        <f t="shared" si="50"/>
        <v>0</v>
      </c>
      <c r="AX33" s="296">
        <f t="shared" si="50"/>
        <v>0</v>
      </c>
      <c r="AY33" s="296">
        <f t="shared" si="50"/>
        <v>0</v>
      </c>
      <c r="AZ33" s="296">
        <f t="shared" si="50"/>
        <v>0</v>
      </c>
      <c r="BA33" s="296">
        <f t="shared" si="50"/>
        <v>0</v>
      </c>
      <c r="BB33" s="296">
        <f t="shared" si="50"/>
        <v>0</v>
      </c>
      <c r="BC33" s="296">
        <f t="shared" si="50"/>
        <v>0</v>
      </c>
      <c r="BD33" s="296">
        <f t="shared" si="50"/>
        <v>0</v>
      </c>
      <c r="BE33" s="296">
        <f t="shared" si="50"/>
        <v>0</v>
      </c>
      <c r="BF33" s="296">
        <f t="shared" si="50"/>
        <v>0</v>
      </c>
      <c r="BG33" s="296">
        <f t="shared" si="50"/>
        <v>0</v>
      </c>
      <c r="BH33" s="296"/>
      <c r="BI33" s="296">
        <f t="shared" si="51"/>
        <v>0</v>
      </c>
      <c r="BJ33" s="296">
        <f t="shared" si="51"/>
        <v>0</v>
      </c>
      <c r="BK33" s="296">
        <f t="shared" si="51"/>
        <v>0</v>
      </c>
      <c r="BL33" s="296">
        <f t="shared" si="51"/>
        <v>0</v>
      </c>
      <c r="BM33" s="296">
        <f t="shared" si="51"/>
        <v>0</v>
      </c>
      <c r="BN33" s="296">
        <f t="shared" si="51"/>
        <v>0</v>
      </c>
      <c r="BO33" s="296">
        <f t="shared" si="51"/>
        <v>0</v>
      </c>
      <c r="BP33" s="296">
        <f t="shared" si="51"/>
        <v>0</v>
      </c>
      <c r="BQ33" s="296">
        <f t="shared" si="51"/>
        <v>0</v>
      </c>
      <c r="BR33" s="296">
        <f t="shared" si="51"/>
        <v>0</v>
      </c>
      <c r="BS33" s="296">
        <f t="shared" si="51"/>
        <v>0</v>
      </c>
      <c r="BT33" s="296">
        <f t="shared" si="51"/>
        <v>0</v>
      </c>
      <c r="BU33" s="296">
        <f t="shared" si="51"/>
        <v>0</v>
      </c>
      <c r="BV33" s="296"/>
      <c r="BW33" s="296">
        <f t="shared" si="52"/>
        <v>0</v>
      </c>
      <c r="BX33" s="296">
        <f t="shared" si="52"/>
        <v>0</v>
      </c>
      <c r="BY33" s="296">
        <f t="shared" si="52"/>
        <v>0</v>
      </c>
      <c r="BZ33" s="296">
        <f t="shared" si="52"/>
        <v>0</v>
      </c>
      <c r="CA33" s="296">
        <f t="shared" si="52"/>
        <v>0</v>
      </c>
      <c r="CB33" s="296">
        <f t="shared" si="52"/>
        <v>0</v>
      </c>
      <c r="CC33" s="296">
        <f t="shared" si="52"/>
        <v>0</v>
      </c>
      <c r="CD33" s="296">
        <f t="shared" si="52"/>
        <v>0</v>
      </c>
      <c r="CE33" s="296">
        <f t="shared" si="52"/>
        <v>0</v>
      </c>
      <c r="CF33" s="296">
        <f t="shared" si="52"/>
        <v>0</v>
      </c>
      <c r="CG33" s="296">
        <f t="shared" si="52"/>
        <v>0</v>
      </c>
      <c r="CH33" s="296">
        <f t="shared" si="52"/>
        <v>0</v>
      </c>
      <c r="CI33" s="296">
        <f t="shared" si="52"/>
        <v>0</v>
      </c>
      <c r="CJ33" s="296"/>
      <c r="CK33" s="296">
        <f t="shared" si="53"/>
        <v>0</v>
      </c>
      <c r="CL33" s="296">
        <f t="shared" si="53"/>
        <v>0</v>
      </c>
      <c r="CM33" s="296">
        <f t="shared" si="53"/>
        <v>0</v>
      </c>
      <c r="CN33" s="296">
        <f t="shared" si="53"/>
        <v>0</v>
      </c>
      <c r="CO33" s="296">
        <f t="shared" si="53"/>
        <v>0</v>
      </c>
      <c r="CP33" s="296">
        <f t="shared" si="53"/>
        <v>0</v>
      </c>
      <c r="CQ33" s="296">
        <f t="shared" si="53"/>
        <v>0</v>
      </c>
      <c r="CR33" s="296">
        <f t="shared" si="53"/>
        <v>0</v>
      </c>
      <c r="CS33" s="296">
        <f t="shared" si="53"/>
        <v>0</v>
      </c>
      <c r="CT33" s="296">
        <f t="shared" si="53"/>
        <v>0</v>
      </c>
      <c r="CU33" s="296">
        <f t="shared" si="53"/>
        <v>0</v>
      </c>
      <c r="CV33" s="296">
        <f t="shared" si="53"/>
        <v>0</v>
      </c>
      <c r="CW33" s="296">
        <f t="shared" si="53"/>
        <v>0</v>
      </c>
      <c r="CX33" s="296"/>
      <c r="CY33" s="296">
        <f t="shared" si="54"/>
        <v>0</v>
      </c>
      <c r="CZ33" s="296">
        <f t="shared" si="54"/>
        <v>0</v>
      </c>
      <c r="DA33" s="296">
        <f t="shared" si="54"/>
        <v>0</v>
      </c>
      <c r="DB33" s="296">
        <f t="shared" si="54"/>
        <v>0</v>
      </c>
      <c r="DC33" s="296">
        <f t="shared" si="54"/>
        <v>0</v>
      </c>
      <c r="DD33" s="296">
        <f t="shared" si="54"/>
        <v>0</v>
      </c>
      <c r="DE33" s="296">
        <f t="shared" si="54"/>
        <v>0</v>
      </c>
      <c r="DF33" s="296">
        <f t="shared" si="54"/>
        <v>0</v>
      </c>
      <c r="DG33" s="296">
        <f t="shared" si="54"/>
        <v>0</v>
      </c>
      <c r="DH33" s="296">
        <f t="shared" si="54"/>
        <v>0</v>
      </c>
      <c r="DI33" s="296">
        <f t="shared" si="54"/>
        <v>0</v>
      </c>
      <c r="DJ33" s="296">
        <f t="shared" si="54"/>
        <v>0</v>
      </c>
      <c r="DK33" s="296">
        <f t="shared" si="54"/>
        <v>0</v>
      </c>
      <c r="DL33" s="296"/>
      <c r="DM33" s="296">
        <f t="shared" si="55"/>
        <v>0</v>
      </c>
      <c r="DN33" s="296">
        <f t="shared" si="55"/>
        <v>0</v>
      </c>
      <c r="DO33" s="296">
        <f t="shared" si="55"/>
        <v>0</v>
      </c>
      <c r="DP33" s="296">
        <f t="shared" si="55"/>
        <v>0</v>
      </c>
      <c r="DQ33" s="296">
        <f t="shared" si="55"/>
        <v>0</v>
      </c>
      <c r="DR33" s="296">
        <f t="shared" si="55"/>
        <v>0</v>
      </c>
      <c r="DS33" s="296">
        <f t="shared" si="55"/>
        <v>0</v>
      </c>
      <c r="DT33" s="296">
        <f t="shared" si="55"/>
        <v>0</v>
      </c>
      <c r="DU33" s="296">
        <f t="shared" si="55"/>
        <v>0</v>
      </c>
      <c r="DV33" s="296">
        <f t="shared" si="55"/>
        <v>0</v>
      </c>
      <c r="DW33" s="296">
        <f t="shared" si="55"/>
        <v>0</v>
      </c>
      <c r="DX33" s="296">
        <f t="shared" si="55"/>
        <v>0</v>
      </c>
      <c r="DY33" s="296">
        <f t="shared" si="55"/>
        <v>0</v>
      </c>
      <c r="DZ33" s="296"/>
      <c r="EA33" s="296">
        <f t="shared" si="56"/>
        <v>0</v>
      </c>
      <c r="EB33" s="296">
        <f t="shared" si="56"/>
        <v>0</v>
      </c>
      <c r="EC33" s="296">
        <f t="shared" si="56"/>
        <v>0</v>
      </c>
      <c r="ED33" s="296">
        <f t="shared" si="56"/>
        <v>0</v>
      </c>
      <c r="EE33" s="296">
        <f t="shared" si="56"/>
        <v>0</v>
      </c>
      <c r="EF33" s="296">
        <f t="shared" si="56"/>
        <v>0</v>
      </c>
      <c r="EG33" s="296">
        <f t="shared" si="56"/>
        <v>0</v>
      </c>
      <c r="EH33" s="296">
        <f t="shared" si="56"/>
        <v>0</v>
      </c>
      <c r="EI33" s="296">
        <f t="shared" si="56"/>
        <v>0</v>
      </c>
      <c r="EJ33" s="296">
        <f t="shared" si="56"/>
        <v>0</v>
      </c>
      <c r="EK33" s="296">
        <f t="shared" si="56"/>
        <v>0</v>
      </c>
      <c r="EL33" s="296">
        <f t="shared" si="56"/>
        <v>0</v>
      </c>
      <c r="EM33" s="296">
        <f t="shared" si="56"/>
        <v>0</v>
      </c>
      <c r="EN33" s="296"/>
    </row>
    <row r="34" spans="2:144" s="289" customFormat="1" ht="18.95" customHeight="1">
      <c r="B34" s="290"/>
      <c r="C34" s="291"/>
      <c r="D34" s="291"/>
      <c r="E34" s="291"/>
      <c r="F34" s="242"/>
      <c r="G34" s="252" t="s">
        <v>178</v>
      </c>
      <c r="H34" s="293"/>
      <c r="I34" s="293"/>
      <c r="J34" s="291"/>
      <c r="K34" s="291"/>
      <c r="L34" s="294"/>
      <c r="M34" s="293"/>
      <c r="N34" s="295"/>
      <c r="O34" s="293"/>
      <c r="P34" s="293"/>
      <c r="Q34" s="293"/>
      <c r="R34" s="296"/>
      <c r="S34" s="244">
        <f t="shared" ref="S34" si="57">SUM(S13:S33)</f>
        <v>0</v>
      </c>
      <c r="T34" s="244">
        <f t="shared" ref="T34" si="58">SUM(T13:T33)</f>
        <v>0</v>
      </c>
      <c r="U34" s="244">
        <f t="shared" ref="U34" si="59">SUM(U13:U33)</f>
        <v>0</v>
      </c>
      <c r="V34" s="244">
        <f t="shared" ref="V34" si="60">SUM(V13:V33)</f>
        <v>0</v>
      </c>
      <c r="W34" s="244">
        <f t="shared" ref="W34" si="61">SUM(W13:W33)</f>
        <v>0</v>
      </c>
      <c r="X34" s="244">
        <f t="shared" ref="X34" si="62">SUM(X13:X33)</f>
        <v>0</v>
      </c>
      <c r="Y34" s="244">
        <f t="shared" ref="Y34" si="63">SUM(Y13:Y33)</f>
        <v>0</v>
      </c>
      <c r="Z34" s="244">
        <f t="shared" ref="Z34" si="64">SUM(Z13:Z33)</f>
        <v>0</v>
      </c>
      <c r="AA34" s="244">
        <f t="shared" ref="AA34" si="65">SUM(AA13:AA33)</f>
        <v>0</v>
      </c>
      <c r="AB34" s="244">
        <f t="shared" ref="AB34" si="66">SUM(AB13:AB33)</f>
        <v>0</v>
      </c>
      <c r="AC34" s="244">
        <f t="shared" ref="AC34" si="67">SUM(AC13:AC33)</f>
        <v>0</v>
      </c>
      <c r="AD34" s="244">
        <f t="shared" ref="AD34" si="68">SUM(AD13:AD33)</f>
        <v>0</v>
      </c>
      <c r="AE34" s="244">
        <f t="shared" ref="AE34" si="69">SUM(AE13:AE33)</f>
        <v>0</v>
      </c>
      <c r="AF34" s="296"/>
      <c r="AG34" s="244">
        <f t="shared" ref="AG34" si="70">SUM(AG13:AG33)</f>
        <v>0</v>
      </c>
      <c r="AH34" s="244">
        <f t="shared" ref="AH34" si="71">SUM(AH13:AH33)</f>
        <v>0</v>
      </c>
      <c r="AI34" s="244">
        <f t="shared" ref="AI34" si="72">SUM(AI13:AI33)</f>
        <v>0</v>
      </c>
      <c r="AJ34" s="244">
        <f t="shared" ref="AJ34" si="73">SUM(AJ13:AJ33)</f>
        <v>0</v>
      </c>
      <c r="AK34" s="244">
        <f t="shared" ref="AK34" si="74">SUM(AK13:AK33)</f>
        <v>0</v>
      </c>
      <c r="AL34" s="244">
        <f t="shared" ref="AL34" si="75">SUM(AL13:AL33)</f>
        <v>0</v>
      </c>
      <c r="AM34" s="244">
        <f t="shared" ref="AM34" si="76">SUM(AM13:AM33)</f>
        <v>0</v>
      </c>
      <c r="AN34" s="244">
        <f t="shared" ref="AN34" si="77">SUM(AN13:AN33)</f>
        <v>0</v>
      </c>
      <c r="AO34" s="244">
        <f t="shared" ref="AO34" si="78">SUM(AO13:AO33)</f>
        <v>0</v>
      </c>
      <c r="AP34" s="244">
        <f t="shared" ref="AP34" si="79">SUM(AP13:AP33)</f>
        <v>0</v>
      </c>
      <c r="AQ34" s="244">
        <f t="shared" ref="AQ34" si="80">SUM(AQ13:AQ33)</f>
        <v>0</v>
      </c>
      <c r="AR34" s="244">
        <f t="shared" ref="AR34" si="81">SUM(AR13:AR33)</f>
        <v>0</v>
      </c>
      <c r="AS34" s="244">
        <f t="shared" ref="AS34" si="82">SUM(AS13:AS33)</f>
        <v>0</v>
      </c>
      <c r="AT34" s="296"/>
      <c r="AU34" s="244">
        <f t="shared" ref="AU34" si="83">SUM(AU13:AU33)</f>
        <v>8450.1652892561979</v>
      </c>
      <c r="AV34" s="244">
        <f t="shared" ref="AV34" si="84">SUM(AV13:AV33)</f>
        <v>8450.1652892561979</v>
      </c>
      <c r="AW34" s="244">
        <f t="shared" ref="AW34" si="85">SUM(AW13:AW33)</f>
        <v>8450.1652892561979</v>
      </c>
      <c r="AX34" s="244">
        <f t="shared" ref="AX34" si="86">SUM(AX13:AX33)</f>
        <v>8450.1652892561979</v>
      </c>
      <c r="AY34" s="244">
        <f t="shared" ref="AY34" si="87">SUM(AY13:AY33)</f>
        <v>8450.1652892561979</v>
      </c>
      <c r="AZ34" s="244">
        <f t="shared" ref="AZ34" si="88">SUM(AZ13:AZ33)</f>
        <v>8450.1652892561979</v>
      </c>
      <c r="BA34" s="244">
        <f t="shared" ref="BA34" si="89">SUM(BA13:BA33)</f>
        <v>8450.1652892561979</v>
      </c>
      <c r="BB34" s="244">
        <f t="shared" ref="BB34" si="90">SUM(BB13:BB33)</f>
        <v>8450.1652892561979</v>
      </c>
      <c r="BC34" s="244">
        <f t="shared" ref="BC34" si="91">SUM(BC13:BC33)</f>
        <v>8450.1652892561979</v>
      </c>
      <c r="BD34" s="244">
        <f t="shared" ref="BD34" si="92">SUM(BD13:BD33)</f>
        <v>8450.1652892561979</v>
      </c>
      <c r="BE34" s="244">
        <f t="shared" ref="BE34" si="93">SUM(BE13:BE33)</f>
        <v>8450.1652892561979</v>
      </c>
      <c r="BF34" s="244">
        <f t="shared" ref="BF34" si="94">SUM(BF13:BF33)</f>
        <v>8450.1652892561979</v>
      </c>
      <c r="BG34" s="244">
        <f t="shared" ref="BG34" si="95">SUM(BG13:BG33)</f>
        <v>101401.98347107437</v>
      </c>
      <c r="BH34" s="296"/>
      <c r="BI34" s="244">
        <f t="shared" ref="BI34" si="96">SUM(BI13:BI33)</f>
        <v>1050</v>
      </c>
      <c r="BJ34" s="244">
        <f t="shared" ref="BJ34" si="97">SUM(BJ13:BJ33)</f>
        <v>1050</v>
      </c>
      <c r="BK34" s="244">
        <f t="shared" ref="BK34" si="98">SUM(BK13:BK33)</f>
        <v>1050</v>
      </c>
      <c r="BL34" s="244">
        <f t="shared" ref="BL34" si="99">SUM(BL13:BL33)</f>
        <v>1050</v>
      </c>
      <c r="BM34" s="244">
        <f t="shared" ref="BM34" si="100">SUM(BM13:BM33)</f>
        <v>1050</v>
      </c>
      <c r="BN34" s="244">
        <f t="shared" ref="BN34" si="101">SUM(BN13:BN33)</f>
        <v>1050</v>
      </c>
      <c r="BO34" s="244">
        <f t="shared" ref="BO34" si="102">SUM(BO13:BO33)</f>
        <v>1050</v>
      </c>
      <c r="BP34" s="244">
        <f t="shared" ref="BP34" si="103">SUM(BP13:BP33)</f>
        <v>1050</v>
      </c>
      <c r="BQ34" s="244">
        <f t="shared" ref="BQ34" si="104">SUM(BQ13:BQ33)</f>
        <v>1050</v>
      </c>
      <c r="BR34" s="244">
        <f t="shared" ref="BR34" si="105">SUM(BR13:BR33)</f>
        <v>1050</v>
      </c>
      <c r="BS34" s="244">
        <f t="shared" ref="BS34" si="106">SUM(BS13:BS33)</f>
        <v>1050</v>
      </c>
      <c r="BT34" s="244">
        <f t="shared" ref="BT34" si="107">SUM(BT13:BT33)</f>
        <v>1050</v>
      </c>
      <c r="BU34" s="244">
        <f t="shared" ref="BU34" si="108">SUM(BU13:BU33)</f>
        <v>12600</v>
      </c>
      <c r="BV34" s="296"/>
      <c r="BW34" s="244">
        <f t="shared" ref="BW34" si="109">SUM(BW13:BW33)</f>
        <v>3333.3333333333335</v>
      </c>
      <c r="BX34" s="244">
        <f t="shared" ref="BX34" si="110">SUM(BX13:BX33)</f>
        <v>3333.3333333333335</v>
      </c>
      <c r="BY34" s="244">
        <f t="shared" ref="BY34" si="111">SUM(BY13:BY33)</f>
        <v>3333.3333333333335</v>
      </c>
      <c r="BZ34" s="244">
        <f t="shared" ref="BZ34" si="112">SUM(BZ13:BZ33)</f>
        <v>3333.3333333333335</v>
      </c>
      <c r="CA34" s="244">
        <f t="shared" ref="CA34" si="113">SUM(CA13:CA33)</f>
        <v>3333.3333333333335</v>
      </c>
      <c r="CB34" s="244">
        <f t="shared" ref="CB34" si="114">SUM(CB13:CB33)</f>
        <v>3333.3333333333335</v>
      </c>
      <c r="CC34" s="244">
        <f t="shared" ref="CC34" si="115">SUM(CC13:CC33)</f>
        <v>3333.3333333333335</v>
      </c>
      <c r="CD34" s="244">
        <f t="shared" ref="CD34" si="116">SUM(CD13:CD33)</f>
        <v>3333.3333333333335</v>
      </c>
      <c r="CE34" s="244">
        <f t="shared" ref="CE34" si="117">SUM(CE13:CE33)</f>
        <v>3333.3333333333335</v>
      </c>
      <c r="CF34" s="244">
        <f t="shared" ref="CF34" si="118">SUM(CF13:CF33)</f>
        <v>3333.3333333333335</v>
      </c>
      <c r="CG34" s="244">
        <f t="shared" ref="CG34" si="119">SUM(CG13:CG33)</f>
        <v>3333.3333333333335</v>
      </c>
      <c r="CH34" s="244">
        <f t="shared" ref="CH34" si="120">SUM(CH13:CH33)</f>
        <v>3333.3333333333335</v>
      </c>
      <c r="CI34" s="244">
        <f t="shared" ref="CI34" si="121">SUM(CI13:CI33)</f>
        <v>40000</v>
      </c>
      <c r="CJ34" s="296"/>
      <c r="CK34" s="244">
        <f t="shared" ref="CK34" si="122">SUM(CK13:CK33)</f>
        <v>166.66666666666666</v>
      </c>
      <c r="CL34" s="244">
        <f t="shared" ref="CL34" si="123">SUM(CL13:CL33)</f>
        <v>166.66666666666666</v>
      </c>
      <c r="CM34" s="244">
        <f t="shared" ref="CM34" si="124">SUM(CM13:CM33)</f>
        <v>166.66666666666666</v>
      </c>
      <c r="CN34" s="244">
        <f t="shared" ref="CN34" si="125">SUM(CN13:CN33)</f>
        <v>166.66666666666666</v>
      </c>
      <c r="CO34" s="244">
        <f t="shared" ref="CO34" si="126">SUM(CO13:CO33)</f>
        <v>166.66666666666666</v>
      </c>
      <c r="CP34" s="244">
        <f t="shared" ref="CP34" si="127">SUM(CP13:CP33)</f>
        <v>166.66666666666666</v>
      </c>
      <c r="CQ34" s="244">
        <f t="shared" ref="CQ34" si="128">SUM(CQ13:CQ33)</f>
        <v>166.66666666666666</v>
      </c>
      <c r="CR34" s="244">
        <f t="shared" ref="CR34" si="129">SUM(CR13:CR33)</f>
        <v>166.66666666666666</v>
      </c>
      <c r="CS34" s="244">
        <f t="shared" ref="CS34" si="130">SUM(CS13:CS33)</f>
        <v>166.66666666666666</v>
      </c>
      <c r="CT34" s="244">
        <f t="shared" ref="CT34" si="131">SUM(CT13:CT33)</f>
        <v>166.66666666666666</v>
      </c>
      <c r="CU34" s="244">
        <f t="shared" ref="CU34" si="132">SUM(CU13:CU33)</f>
        <v>166.66666666666666</v>
      </c>
      <c r="CV34" s="244">
        <f t="shared" ref="CV34" si="133">SUM(CV13:CV33)</f>
        <v>166.66666666666666</v>
      </c>
      <c r="CW34" s="244">
        <f t="shared" ref="CW34" si="134">SUM(CW13:CW33)</f>
        <v>2000.0000000000002</v>
      </c>
      <c r="CX34" s="296"/>
      <c r="CY34" s="244">
        <f t="shared" ref="CY34" si="135">SUM(CY13:CY33)</f>
        <v>5597</v>
      </c>
      <c r="CZ34" s="244">
        <f t="shared" ref="CZ34" si="136">SUM(CZ13:CZ33)</f>
        <v>5597</v>
      </c>
      <c r="DA34" s="244">
        <f t="shared" ref="DA34" si="137">SUM(DA13:DA33)</f>
        <v>5597</v>
      </c>
      <c r="DB34" s="244">
        <f t="shared" ref="DB34" si="138">SUM(DB13:DB33)</f>
        <v>5597</v>
      </c>
      <c r="DC34" s="244">
        <f t="shared" ref="DC34" si="139">SUM(DC13:DC33)</f>
        <v>5597</v>
      </c>
      <c r="DD34" s="244">
        <f t="shared" ref="DD34" si="140">SUM(DD13:DD33)</f>
        <v>5597</v>
      </c>
      <c r="DE34" s="244">
        <f t="shared" ref="DE34" si="141">SUM(DE13:DE33)</f>
        <v>5597</v>
      </c>
      <c r="DF34" s="244">
        <f t="shared" ref="DF34" si="142">SUM(DF13:DF33)</f>
        <v>5597</v>
      </c>
      <c r="DG34" s="244">
        <f t="shared" ref="DG34" si="143">SUM(DG13:DG33)</f>
        <v>5597</v>
      </c>
      <c r="DH34" s="244">
        <f t="shared" ref="DH34" si="144">SUM(DH13:DH33)</f>
        <v>5597</v>
      </c>
      <c r="DI34" s="244">
        <f t="shared" ref="DI34" si="145">SUM(DI13:DI33)</f>
        <v>5597</v>
      </c>
      <c r="DJ34" s="244">
        <f t="shared" ref="DJ34" si="146">SUM(DJ13:DJ33)</f>
        <v>5597</v>
      </c>
      <c r="DK34" s="244">
        <f t="shared" ref="DK34" si="147">SUM(DK13:DK33)</f>
        <v>67164</v>
      </c>
      <c r="DL34" s="296"/>
      <c r="DM34" s="244">
        <f t="shared" ref="DM34" si="148">SUM(DM13:DM33)</f>
        <v>6000</v>
      </c>
      <c r="DN34" s="244">
        <f t="shared" ref="DN34" si="149">SUM(DN13:DN33)</f>
        <v>0</v>
      </c>
      <c r="DO34" s="244">
        <f t="shared" ref="DO34" si="150">SUM(DO13:DO33)</f>
        <v>0</v>
      </c>
      <c r="DP34" s="244">
        <f t="shared" ref="DP34" si="151">SUM(DP13:DP33)</f>
        <v>0</v>
      </c>
      <c r="DQ34" s="244">
        <f t="shared" ref="DQ34" si="152">SUM(DQ13:DQ33)</f>
        <v>0</v>
      </c>
      <c r="DR34" s="244">
        <f t="shared" ref="DR34" si="153">SUM(DR13:DR33)</f>
        <v>0</v>
      </c>
      <c r="DS34" s="244">
        <f t="shared" ref="DS34" si="154">SUM(DS13:DS33)</f>
        <v>0</v>
      </c>
      <c r="DT34" s="244">
        <f t="shared" ref="DT34" si="155">SUM(DT13:DT33)</f>
        <v>0</v>
      </c>
      <c r="DU34" s="244">
        <f t="shared" ref="DU34" si="156">SUM(DU13:DU33)</f>
        <v>0</v>
      </c>
      <c r="DV34" s="244">
        <f t="shared" ref="DV34" si="157">SUM(DV13:DV33)</f>
        <v>0</v>
      </c>
      <c r="DW34" s="244">
        <f t="shared" ref="DW34" si="158">SUM(DW13:DW33)</f>
        <v>0</v>
      </c>
      <c r="DX34" s="244">
        <f t="shared" ref="DX34" si="159">SUM(DX13:DX33)</f>
        <v>0</v>
      </c>
      <c r="DY34" s="244">
        <f t="shared" ref="DY34" si="160">SUM(DY13:DY33)</f>
        <v>6000</v>
      </c>
      <c r="DZ34" s="296"/>
      <c r="EA34" s="244">
        <f t="shared" ref="EA34" si="161">SUM(EA13:EA33)</f>
        <v>24597.165289256198</v>
      </c>
      <c r="EB34" s="244">
        <f t="shared" ref="EB34" si="162">SUM(EB13:EB33)</f>
        <v>18597.165289256198</v>
      </c>
      <c r="EC34" s="244">
        <f t="shared" ref="EC34" si="163">SUM(EC13:EC33)</f>
        <v>18597.165289256198</v>
      </c>
      <c r="ED34" s="244">
        <f t="shared" ref="ED34" si="164">SUM(ED13:ED33)</f>
        <v>18597.165289256198</v>
      </c>
      <c r="EE34" s="244">
        <f t="shared" ref="EE34" si="165">SUM(EE13:EE33)</f>
        <v>18597.165289256198</v>
      </c>
      <c r="EF34" s="244">
        <f t="shared" ref="EF34" si="166">SUM(EF13:EF33)</f>
        <v>18597.165289256198</v>
      </c>
      <c r="EG34" s="244">
        <f t="shared" ref="EG34" si="167">SUM(EG13:EG33)</f>
        <v>18597.165289256198</v>
      </c>
      <c r="EH34" s="244">
        <f t="shared" ref="EH34" si="168">SUM(EH13:EH33)</f>
        <v>18597.165289256198</v>
      </c>
      <c r="EI34" s="244">
        <f t="shared" ref="EI34" si="169">SUM(EI13:EI33)</f>
        <v>18597.165289256198</v>
      </c>
      <c r="EJ34" s="244">
        <f t="shared" ref="EJ34" si="170">SUM(EJ13:EJ33)</f>
        <v>18597.165289256198</v>
      </c>
      <c r="EK34" s="244">
        <f t="shared" ref="EK34" si="171">SUM(EK13:EK33)</f>
        <v>18597.165289256198</v>
      </c>
      <c r="EL34" s="244">
        <f t="shared" ref="EL34" si="172">SUM(EL13:EL33)</f>
        <v>18597.165289256198</v>
      </c>
      <c r="EM34" s="244">
        <f t="shared" ref="EM34" si="173">SUM(EM13:EM33)</f>
        <v>229165.98347107437</v>
      </c>
      <c r="EN34" s="296"/>
    </row>
    <row r="35" spans="2:144" s="289" customFormat="1" ht="18.95" customHeight="1">
      <c r="B35" s="290"/>
      <c r="C35" s="291"/>
      <c r="D35" s="291"/>
      <c r="E35" s="291"/>
      <c r="F35" s="292"/>
      <c r="G35" s="292"/>
      <c r="H35" s="293"/>
      <c r="I35" s="293"/>
      <c r="J35" s="291"/>
      <c r="K35" s="291"/>
      <c r="L35" s="294"/>
      <c r="M35" s="293"/>
      <c r="N35" s="295"/>
      <c r="O35" s="293"/>
      <c r="P35" s="293"/>
      <c r="Q35" s="293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</row>
    <row r="36" spans="2:144" s="289" customFormat="1" ht="18.95" customHeight="1">
      <c r="B36" s="290"/>
      <c r="C36" s="291"/>
      <c r="D36" s="291"/>
      <c r="E36" s="291"/>
      <c r="F36" s="292"/>
      <c r="G36" s="292"/>
      <c r="H36" s="293"/>
      <c r="I36" s="293"/>
      <c r="J36" s="291"/>
      <c r="K36" s="291"/>
      <c r="L36" s="294"/>
      <c r="M36" s="293"/>
      <c r="N36" s="295"/>
      <c r="O36" s="293"/>
      <c r="P36" s="293"/>
      <c r="Q36" s="293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</row>
    <row r="37" spans="2:144" s="289" customFormat="1" ht="18.95" customHeight="1">
      <c r="B37" s="290"/>
      <c r="C37" s="291"/>
      <c r="D37" s="291"/>
      <c r="E37" s="291"/>
      <c r="F37" s="292"/>
      <c r="G37" s="292"/>
      <c r="H37" s="293"/>
      <c r="I37" s="293"/>
      <c r="J37" s="291"/>
      <c r="K37" s="291"/>
      <c r="L37" s="294"/>
      <c r="M37" s="293"/>
      <c r="N37" s="295"/>
      <c r="O37" s="293"/>
      <c r="P37" s="293"/>
      <c r="Q37" s="293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</row>
    <row r="38" spans="2:144" s="289" customFormat="1" ht="18.95" customHeight="1">
      <c r="B38" s="290"/>
      <c r="C38" s="291"/>
      <c r="D38" s="291"/>
      <c r="E38" s="291"/>
      <c r="F38" s="292"/>
      <c r="G38" s="292"/>
      <c r="H38" s="293"/>
      <c r="I38" s="293"/>
      <c r="J38" s="291"/>
      <c r="K38" s="291"/>
      <c r="L38" s="294"/>
      <c r="M38" s="293"/>
      <c r="N38" s="295"/>
      <c r="O38" s="293"/>
      <c r="P38" s="293"/>
      <c r="Q38" s="293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</row>
    <row r="39" spans="2:144" s="289" customFormat="1" ht="18.95" customHeight="1">
      <c r="B39" s="290"/>
      <c r="C39" s="291"/>
      <c r="D39" s="291"/>
      <c r="E39" s="291"/>
      <c r="F39" s="292"/>
      <c r="G39" s="292"/>
      <c r="H39" s="293"/>
      <c r="I39" s="293"/>
      <c r="J39" s="291"/>
      <c r="K39" s="291"/>
      <c r="L39" s="294"/>
      <c r="M39" s="293"/>
      <c r="N39" s="295"/>
      <c r="O39" s="293"/>
      <c r="P39" s="293"/>
      <c r="Q39" s="293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</row>
    <row r="40" spans="2:144" s="289" customFormat="1" ht="18.95" customHeight="1">
      <c r="B40" s="290"/>
      <c r="C40" s="291"/>
      <c r="D40" s="291"/>
      <c r="E40" s="291"/>
      <c r="F40" s="292"/>
      <c r="G40" s="292"/>
      <c r="H40" s="293"/>
      <c r="I40" s="293"/>
      <c r="J40" s="291"/>
      <c r="K40" s="291"/>
      <c r="L40" s="294"/>
      <c r="M40" s="293"/>
      <c r="N40" s="295"/>
      <c r="O40" s="293"/>
      <c r="P40" s="293"/>
      <c r="Q40" s="293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</row>
    <row r="41" spans="2:144" s="289" customFormat="1" ht="18.95" customHeight="1">
      <c r="B41" s="290"/>
      <c r="C41" s="291"/>
      <c r="D41" s="291"/>
      <c r="E41" s="291"/>
      <c r="F41" s="292"/>
      <c r="G41" s="292"/>
      <c r="H41" s="293"/>
      <c r="I41" s="293"/>
      <c r="J41" s="291"/>
      <c r="K41" s="291"/>
      <c r="L41" s="294"/>
      <c r="M41" s="293"/>
      <c r="N41" s="295"/>
      <c r="O41" s="293"/>
      <c r="P41" s="293"/>
      <c r="Q41" s="293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</row>
    <row r="42" spans="2:144" s="289" customFormat="1" ht="18.95" customHeight="1">
      <c r="B42" s="290"/>
      <c r="C42" s="291"/>
      <c r="D42" s="291"/>
      <c r="E42" s="291"/>
      <c r="F42" s="292"/>
      <c r="G42" s="292"/>
      <c r="H42" s="293"/>
      <c r="I42" s="293"/>
      <c r="J42" s="291"/>
      <c r="K42" s="291"/>
      <c r="L42" s="294"/>
      <c r="M42" s="293"/>
      <c r="N42" s="295"/>
      <c r="O42" s="293"/>
      <c r="P42" s="293"/>
      <c r="Q42" s="293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</row>
    <row r="43" spans="2:144" s="289" customFormat="1" ht="18.95" customHeight="1">
      <c r="B43" s="290"/>
      <c r="C43" s="291"/>
      <c r="D43" s="291"/>
      <c r="E43" s="291"/>
      <c r="F43" s="292"/>
      <c r="G43" s="292"/>
      <c r="H43" s="293"/>
      <c r="I43" s="293"/>
      <c r="J43" s="291"/>
      <c r="K43" s="291"/>
      <c r="L43" s="294"/>
      <c r="M43" s="293"/>
      <c r="N43" s="295"/>
      <c r="O43" s="293"/>
      <c r="P43" s="293"/>
      <c r="Q43" s="293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</row>
    <row r="44" spans="2:144" s="289" customFormat="1" ht="18.95" customHeight="1">
      <c r="B44" s="290"/>
      <c r="C44" s="291"/>
      <c r="D44" s="291"/>
      <c r="E44" s="291"/>
      <c r="F44" s="292"/>
      <c r="G44" s="292"/>
      <c r="H44" s="293"/>
      <c r="I44" s="293"/>
      <c r="J44" s="291"/>
      <c r="K44" s="291"/>
      <c r="L44" s="294"/>
      <c r="M44" s="293"/>
      <c r="N44" s="295"/>
      <c r="O44" s="293"/>
      <c r="P44" s="293"/>
      <c r="Q44" s="293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</row>
    <row r="45" spans="2:144" s="289" customFormat="1" ht="18.95" customHeight="1">
      <c r="B45" s="290"/>
      <c r="C45" s="291"/>
      <c r="D45" s="291"/>
      <c r="E45" s="291"/>
      <c r="F45" s="292"/>
      <c r="G45" s="292"/>
      <c r="H45" s="293"/>
      <c r="I45" s="293"/>
      <c r="J45" s="291"/>
      <c r="K45" s="291"/>
      <c r="L45" s="294"/>
      <c r="M45" s="293"/>
      <c r="N45" s="295"/>
      <c r="O45" s="293"/>
      <c r="P45" s="293"/>
      <c r="Q45" s="293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</row>
    <row r="46" spans="2:144" s="289" customFormat="1" ht="18.95" customHeight="1">
      <c r="B46" s="290"/>
      <c r="C46" s="291"/>
      <c r="D46" s="291"/>
      <c r="E46" s="291"/>
      <c r="F46" s="292"/>
      <c r="G46" s="292"/>
      <c r="H46" s="293"/>
      <c r="I46" s="293"/>
      <c r="J46" s="291"/>
      <c r="K46" s="291"/>
      <c r="L46" s="294"/>
      <c r="M46" s="293"/>
      <c r="N46" s="295"/>
      <c r="O46" s="293"/>
      <c r="P46" s="293"/>
      <c r="Q46" s="293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</row>
    <row r="47" spans="2:144" s="289" customFormat="1" ht="18.95" customHeight="1">
      <c r="B47" s="290"/>
      <c r="C47" s="291"/>
      <c r="D47" s="291"/>
      <c r="E47" s="291"/>
      <c r="F47" s="292"/>
      <c r="G47" s="292"/>
      <c r="H47" s="293"/>
      <c r="I47" s="293"/>
      <c r="J47" s="291"/>
      <c r="K47" s="291"/>
      <c r="L47" s="294"/>
      <c r="M47" s="293"/>
      <c r="N47" s="295"/>
      <c r="O47" s="293"/>
      <c r="P47" s="293"/>
      <c r="Q47" s="293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96"/>
      <c r="DB47" s="296"/>
      <c r="DC47" s="296"/>
      <c r="DD47" s="296"/>
      <c r="DE47" s="296"/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6"/>
      <c r="DQ47" s="296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6"/>
    </row>
    <row r="48" spans="2:144" s="289" customFormat="1" ht="18.95" customHeight="1">
      <c r="B48" s="290"/>
      <c r="C48" s="291"/>
      <c r="D48" s="291"/>
      <c r="E48" s="291"/>
      <c r="F48" s="292"/>
      <c r="G48" s="292"/>
      <c r="H48" s="293"/>
      <c r="I48" s="293"/>
      <c r="J48" s="291"/>
      <c r="K48" s="291"/>
      <c r="L48" s="294"/>
      <c r="M48" s="293"/>
      <c r="N48" s="295"/>
      <c r="O48" s="293"/>
      <c r="P48" s="293"/>
      <c r="Q48" s="293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6"/>
      <c r="BU48" s="296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  <c r="CG48" s="296"/>
      <c r="CH48" s="296"/>
      <c r="CI48" s="296"/>
      <c r="CJ48" s="296"/>
      <c r="CK48" s="296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</row>
    <row r="49" spans="2:143" s="289" customFormat="1" ht="18.95" customHeight="1">
      <c r="B49" s="290"/>
      <c r="C49" s="291"/>
      <c r="D49" s="291"/>
      <c r="E49" s="291"/>
      <c r="F49" s="292"/>
      <c r="G49" s="292"/>
      <c r="H49" s="293"/>
      <c r="I49" s="293"/>
      <c r="J49" s="291"/>
      <c r="K49" s="291"/>
      <c r="L49" s="294"/>
      <c r="M49" s="293"/>
      <c r="N49" s="295"/>
      <c r="O49" s="293"/>
      <c r="P49" s="293"/>
      <c r="Q49" s="293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  <c r="CG49" s="296"/>
      <c r="CH49" s="296"/>
      <c r="CI49" s="296"/>
      <c r="CJ49" s="296"/>
      <c r="CK49" s="296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</row>
    <row r="50" spans="2:143" s="289" customFormat="1" ht="18.95" customHeight="1">
      <c r="B50" s="290"/>
      <c r="C50" s="291"/>
      <c r="D50" s="291"/>
      <c r="E50" s="291"/>
      <c r="F50" s="292"/>
      <c r="G50" s="292"/>
      <c r="H50" s="293"/>
      <c r="I50" s="293"/>
      <c r="J50" s="291"/>
      <c r="K50" s="291"/>
      <c r="L50" s="294"/>
      <c r="M50" s="293"/>
      <c r="N50" s="295"/>
      <c r="O50" s="293"/>
      <c r="P50" s="293"/>
      <c r="Q50" s="293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</row>
    <row r="51" spans="2:143" s="289" customFormat="1" ht="18.95" customHeight="1">
      <c r="B51" s="290"/>
      <c r="C51" s="291"/>
      <c r="D51" s="291"/>
      <c r="E51" s="291"/>
      <c r="F51" s="292"/>
      <c r="G51" s="292"/>
      <c r="H51" s="293"/>
      <c r="I51" s="293"/>
      <c r="J51" s="291"/>
      <c r="K51" s="291"/>
      <c r="L51" s="294"/>
      <c r="M51" s="293"/>
      <c r="N51" s="295"/>
      <c r="O51" s="293"/>
      <c r="P51" s="293"/>
      <c r="Q51" s="293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  <c r="CG51" s="296"/>
      <c r="CH51" s="296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</row>
    <row r="52" spans="2:143" s="289" customFormat="1" ht="18.95" customHeight="1">
      <c r="B52" s="290"/>
      <c r="C52" s="291"/>
      <c r="D52" s="291"/>
      <c r="E52" s="291"/>
      <c r="F52" s="292"/>
      <c r="G52" s="292"/>
      <c r="H52" s="293"/>
      <c r="I52" s="293"/>
      <c r="J52" s="291"/>
      <c r="K52" s="291"/>
      <c r="L52" s="294"/>
      <c r="M52" s="293"/>
      <c r="N52" s="295"/>
      <c r="O52" s="293"/>
      <c r="P52" s="293"/>
      <c r="Q52" s="293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6"/>
    </row>
    <row r="53" spans="2:143" s="289" customFormat="1" ht="18.95" customHeight="1">
      <c r="B53" s="290"/>
      <c r="C53" s="291"/>
      <c r="D53" s="291"/>
      <c r="E53" s="291"/>
      <c r="F53" s="292"/>
      <c r="G53" s="292"/>
      <c r="H53" s="293"/>
      <c r="I53" s="293"/>
      <c r="J53" s="291"/>
      <c r="K53" s="291"/>
      <c r="L53" s="294"/>
      <c r="M53" s="293"/>
      <c r="N53" s="295"/>
      <c r="O53" s="293"/>
      <c r="P53" s="293"/>
      <c r="Q53" s="293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296"/>
      <c r="EK53" s="296"/>
      <c r="EL53" s="296"/>
      <c r="EM53" s="296"/>
    </row>
    <row r="54" spans="2:143" s="289" customFormat="1" ht="18.95" customHeight="1">
      <c r="B54" s="290"/>
      <c r="C54" s="291"/>
      <c r="D54" s="291"/>
      <c r="E54" s="291"/>
      <c r="F54" s="292"/>
      <c r="G54" s="292"/>
      <c r="H54" s="293"/>
      <c r="I54" s="293"/>
      <c r="J54" s="291"/>
      <c r="K54" s="291"/>
      <c r="L54" s="294"/>
      <c r="M54" s="293"/>
      <c r="N54" s="295"/>
      <c r="O54" s="293"/>
      <c r="P54" s="293"/>
      <c r="Q54" s="293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6"/>
      <c r="EK54" s="296"/>
      <c r="EL54" s="296"/>
      <c r="EM54" s="296"/>
    </row>
    <row r="55" spans="2:143" s="289" customFormat="1" ht="18.95" customHeight="1">
      <c r="B55" s="290"/>
      <c r="C55" s="291"/>
      <c r="D55" s="291"/>
      <c r="E55" s="291"/>
      <c r="F55" s="292"/>
      <c r="G55" s="292"/>
      <c r="H55" s="293"/>
      <c r="I55" s="293"/>
      <c r="J55" s="291"/>
      <c r="K55" s="291"/>
      <c r="L55" s="294"/>
      <c r="M55" s="293"/>
      <c r="N55" s="295"/>
      <c r="O55" s="293"/>
      <c r="P55" s="293"/>
      <c r="Q55" s="293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6"/>
      <c r="DQ55" s="296"/>
      <c r="DR55" s="296"/>
      <c r="DS55" s="296"/>
      <c r="DT55" s="296"/>
      <c r="DU55" s="296"/>
      <c r="DV55" s="296"/>
      <c r="DW55" s="296"/>
      <c r="DX55" s="296"/>
      <c r="DY55" s="296"/>
      <c r="DZ55" s="296"/>
      <c r="EA55" s="296"/>
      <c r="EB55" s="296"/>
      <c r="EC55" s="296"/>
      <c r="ED55" s="296"/>
      <c r="EE55" s="296"/>
      <c r="EF55" s="296"/>
      <c r="EG55" s="296"/>
      <c r="EH55" s="296"/>
      <c r="EI55" s="296"/>
      <c r="EJ55" s="296"/>
      <c r="EK55" s="296"/>
      <c r="EL55" s="296"/>
      <c r="EM55" s="296"/>
    </row>
    <row r="56" spans="2:143" s="289" customFormat="1" ht="18.95" customHeight="1">
      <c r="B56" s="290"/>
      <c r="C56" s="291"/>
      <c r="D56" s="291"/>
      <c r="E56" s="291"/>
      <c r="F56" s="292"/>
      <c r="G56" s="292"/>
      <c r="H56" s="293"/>
      <c r="I56" s="293"/>
      <c r="J56" s="291"/>
      <c r="K56" s="291"/>
      <c r="L56" s="294"/>
      <c r="M56" s="293"/>
      <c r="N56" s="295"/>
      <c r="O56" s="293"/>
      <c r="P56" s="293"/>
      <c r="Q56" s="293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296"/>
      <c r="BU56" s="296"/>
      <c r="BV56" s="296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  <c r="CG56" s="296"/>
      <c r="CH56" s="296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296"/>
      <c r="EA56" s="296"/>
      <c r="EB56" s="296"/>
      <c r="EC56" s="296"/>
      <c r="ED56" s="296"/>
      <c r="EE56" s="296"/>
      <c r="EF56" s="296"/>
      <c r="EG56" s="296"/>
      <c r="EH56" s="296"/>
      <c r="EI56" s="296"/>
      <c r="EJ56" s="296"/>
      <c r="EK56" s="296"/>
      <c r="EL56" s="296"/>
      <c r="EM56" s="296"/>
    </row>
    <row r="57" spans="2:143" s="289" customFormat="1" ht="18.95" customHeight="1">
      <c r="B57" s="290"/>
      <c r="C57" s="291"/>
      <c r="D57" s="291"/>
      <c r="E57" s="291"/>
      <c r="F57" s="292"/>
      <c r="G57" s="292"/>
      <c r="H57" s="293"/>
      <c r="I57" s="293"/>
      <c r="J57" s="291"/>
      <c r="K57" s="291"/>
      <c r="L57" s="294"/>
      <c r="M57" s="293"/>
      <c r="N57" s="295"/>
      <c r="O57" s="293"/>
      <c r="P57" s="293"/>
      <c r="Q57" s="293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  <c r="CG57" s="296"/>
      <c r="CH57" s="296"/>
      <c r="CI57" s="296"/>
      <c r="CJ57" s="296"/>
      <c r="CK57" s="296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6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6"/>
      <c r="DQ57" s="296"/>
      <c r="DR57" s="296"/>
      <c r="DS57" s="296"/>
      <c r="DT57" s="296"/>
      <c r="DU57" s="296"/>
      <c r="DV57" s="296"/>
      <c r="DW57" s="296"/>
      <c r="DX57" s="296"/>
      <c r="DY57" s="296"/>
      <c r="DZ57" s="296"/>
      <c r="EA57" s="296"/>
      <c r="EB57" s="296"/>
      <c r="EC57" s="296"/>
      <c r="ED57" s="296"/>
      <c r="EE57" s="296"/>
      <c r="EF57" s="296"/>
      <c r="EG57" s="296"/>
      <c r="EH57" s="296"/>
      <c r="EI57" s="296"/>
      <c r="EJ57" s="296"/>
      <c r="EK57" s="296"/>
      <c r="EL57" s="296"/>
      <c r="EM57" s="296"/>
    </row>
    <row r="58" spans="2:143" s="289" customFormat="1" ht="18.95" customHeight="1">
      <c r="B58" s="290"/>
      <c r="C58" s="291"/>
      <c r="D58" s="291"/>
      <c r="E58" s="291"/>
      <c r="F58" s="292"/>
      <c r="G58" s="292"/>
      <c r="H58" s="293"/>
      <c r="I58" s="293"/>
      <c r="J58" s="291"/>
      <c r="K58" s="291"/>
      <c r="L58" s="294"/>
      <c r="M58" s="293"/>
      <c r="N58" s="295"/>
      <c r="O58" s="293"/>
      <c r="P58" s="293"/>
      <c r="Q58" s="293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6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6"/>
      <c r="EK58" s="296"/>
      <c r="EL58" s="296"/>
      <c r="EM58" s="296"/>
    </row>
    <row r="59" spans="2:143" s="289" customFormat="1" ht="18.95" customHeight="1">
      <c r="B59" s="290"/>
      <c r="C59" s="291"/>
      <c r="D59" s="291"/>
      <c r="E59" s="291"/>
      <c r="F59" s="292"/>
      <c r="G59" s="292"/>
      <c r="H59" s="293"/>
      <c r="I59" s="293"/>
      <c r="J59" s="291"/>
      <c r="K59" s="291"/>
      <c r="L59" s="294"/>
      <c r="M59" s="293"/>
      <c r="N59" s="295"/>
      <c r="O59" s="293"/>
      <c r="P59" s="293"/>
      <c r="Q59" s="293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6"/>
      <c r="BP59" s="296"/>
      <c r="BQ59" s="296"/>
      <c r="BR59" s="296"/>
      <c r="BS59" s="296"/>
      <c r="BT59" s="296"/>
      <c r="BU59" s="296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  <c r="CG59" s="296"/>
      <c r="CH59" s="296"/>
      <c r="CI59" s="296"/>
      <c r="CJ59" s="296"/>
      <c r="CK59" s="296"/>
      <c r="CL59" s="296"/>
      <c r="CM59" s="296"/>
      <c r="CN59" s="296"/>
      <c r="CO59" s="296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6"/>
      <c r="DA59" s="296"/>
      <c r="DB59" s="296"/>
      <c r="DC59" s="296"/>
      <c r="DD59" s="296"/>
      <c r="DE59" s="296"/>
      <c r="DF59" s="296"/>
      <c r="DG59" s="296"/>
      <c r="DH59" s="296"/>
      <c r="DI59" s="296"/>
      <c r="DJ59" s="296"/>
      <c r="DK59" s="296"/>
      <c r="DL59" s="296"/>
      <c r="DM59" s="296"/>
      <c r="DN59" s="296"/>
      <c r="DO59" s="296"/>
      <c r="DP59" s="296"/>
      <c r="DQ59" s="296"/>
      <c r="DR59" s="296"/>
      <c r="DS59" s="296"/>
      <c r="DT59" s="296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6"/>
      <c r="EG59" s="296"/>
      <c r="EH59" s="296"/>
      <c r="EI59" s="296"/>
      <c r="EJ59" s="296"/>
      <c r="EK59" s="296"/>
      <c r="EL59" s="296"/>
      <c r="EM59" s="296"/>
    </row>
    <row r="60" spans="2:143" s="289" customFormat="1" ht="18.95" customHeight="1">
      <c r="B60" s="290"/>
      <c r="C60" s="291"/>
      <c r="D60" s="291"/>
      <c r="E60" s="291"/>
      <c r="F60" s="292"/>
      <c r="G60" s="292"/>
      <c r="H60" s="293"/>
      <c r="I60" s="293"/>
      <c r="J60" s="291"/>
      <c r="K60" s="291"/>
      <c r="L60" s="294"/>
      <c r="M60" s="293"/>
      <c r="N60" s="295"/>
      <c r="O60" s="293"/>
      <c r="P60" s="293"/>
      <c r="Q60" s="293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296"/>
      <c r="DP60" s="296"/>
      <c r="DQ60" s="296"/>
      <c r="DR60" s="296"/>
      <c r="DS60" s="296"/>
      <c r="DT60" s="296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6"/>
      <c r="EG60" s="296"/>
      <c r="EH60" s="296"/>
      <c r="EI60" s="296"/>
      <c r="EJ60" s="296"/>
      <c r="EK60" s="296"/>
      <c r="EL60" s="296"/>
      <c r="EM60" s="296"/>
    </row>
    <row r="61" spans="2:143" s="289" customFormat="1" ht="18.95" customHeight="1">
      <c r="B61" s="290"/>
      <c r="C61" s="291"/>
      <c r="D61" s="291"/>
      <c r="E61" s="291"/>
      <c r="F61" s="292"/>
      <c r="G61" s="292"/>
      <c r="H61" s="293"/>
      <c r="I61" s="293"/>
      <c r="J61" s="291"/>
      <c r="K61" s="291"/>
      <c r="L61" s="294"/>
      <c r="M61" s="293"/>
      <c r="N61" s="295"/>
      <c r="O61" s="293"/>
      <c r="P61" s="293"/>
      <c r="Q61" s="293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  <c r="CG61" s="296"/>
      <c r="CH61" s="296"/>
      <c r="CI61" s="296"/>
      <c r="CJ61" s="296"/>
      <c r="CK61" s="296"/>
      <c r="CL61" s="296"/>
      <c r="CM61" s="296"/>
      <c r="CN61" s="296"/>
      <c r="CO61" s="296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296"/>
      <c r="DO61" s="296"/>
      <c r="DP61" s="296"/>
      <c r="DQ61" s="296"/>
      <c r="DR61" s="296"/>
      <c r="DS61" s="296"/>
      <c r="DT61" s="296"/>
      <c r="DU61" s="296"/>
      <c r="DV61" s="296"/>
      <c r="DW61" s="296"/>
      <c r="DX61" s="296"/>
      <c r="DY61" s="296"/>
      <c r="DZ61" s="296"/>
      <c r="EA61" s="296"/>
      <c r="EB61" s="296"/>
      <c r="EC61" s="296"/>
      <c r="ED61" s="296"/>
      <c r="EE61" s="296"/>
      <c r="EF61" s="296"/>
      <c r="EG61" s="296"/>
      <c r="EH61" s="296"/>
      <c r="EI61" s="296"/>
      <c r="EJ61" s="296"/>
      <c r="EK61" s="296"/>
      <c r="EL61" s="296"/>
      <c r="EM61" s="296"/>
    </row>
    <row r="62" spans="2:143" s="289" customFormat="1" ht="18.95" customHeight="1">
      <c r="B62" s="290"/>
      <c r="C62" s="291"/>
      <c r="D62" s="291"/>
      <c r="E62" s="291"/>
      <c r="F62" s="292"/>
      <c r="G62" s="292"/>
      <c r="H62" s="293"/>
      <c r="I62" s="293"/>
      <c r="J62" s="291"/>
      <c r="K62" s="291"/>
      <c r="L62" s="294"/>
      <c r="M62" s="293"/>
      <c r="N62" s="295"/>
      <c r="O62" s="293"/>
      <c r="P62" s="293"/>
      <c r="Q62" s="293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6"/>
      <c r="BP62" s="296"/>
      <c r="BQ62" s="296"/>
      <c r="BR62" s="296"/>
      <c r="BS62" s="296"/>
      <c r="BT62" s="296"/>
      <c r="BU62" s="296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6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296"/>
      <c r="DP62" s="296"/>
      <c r="DQ62" s="296"/>
      <c r="DR62" s="296"/>
      <c r="DS62" s="296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6"/>
      <c r="EK62" s="296"/>
      <c r="EL62" s="296"/>
      <c r="EM62" s="296"/>
    </row>
    <row r="63" spans="2:143" s="289" customFormat="1" ht="18.95" customHeight="1">
      <c r="B63" s="290"/>
      <c r="C63" s="291"/>
      <c r="D63" s="291"/>
      <c r="E63" s="291"/>
      <c r="F63" s="292"/>
      <c r="G63" s="292"/>
      <c r="H63" s="293"/>
      <c r="I63" s="293"/>
      <c r="J63" s="291"/>
      <c r="K63" s="291"/>
      <c r="L63" s="294"/>
      <c r="M63" s="293"/>
      <c r="N63" s="295"/>
      <c r="O63" s="293"/>
      <c r="P63" s="293"/>
      <c r="Q63" s="293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6"/>
      <c r="BU63" s="296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6"/>
    </row>
    <row r="64" spans="2:143" s="289" customFormat="1" ht="18.95" customHeight="1">
      <c r="B64" s="290"/>
      <c r="C64" s="291"/>
      <c r="D64" s="291"/>
      <c r="E64" s="291"/>
      <c r="F64" s="292"/>
      <c r="G64" s="292"/>
      <c r="H64" s="293"/>
      <c r="I64" s="293"/>
      <c r="J64" s="291"/>
      <c r="K64" s="291"/>
      <c r="L64" s="294"/>
      <c r="M64" s="293"/>
      <c r="N64" s="295"/>
      <c r="O64" s="293"/>
      <c r="P64" s="293"/>
      <c r="Q64" s="293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6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6"/>
      <c r="DQ64" s="296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6"/>
      <c r="EG64" s="296"/>
      <c r="EH64" s="296"/>
      <c r="EI64" s="296"/>
      <c r="EJ64" s="296"/>
      <c r="EK64" s="296"/>
      <c r="EL64" s="296"/>
      <c r="EM64" s="296"/>
    </row>
    <row r="65" spans="2:143" s="289" customFormat="1" ht="18.95" customHeight="1">
      <c r="B65" s="290"/>
      <c r="C65" s="291"/>
      <c r="D65" s="291"/>
      <c r="E65" s="291"/>
      <c r="F65" s="292"/>
      <c r="G65" s="292"/>
      <c r="H65" s="293"/>
      <c r="I65" s="293"/>
      <c r="J65" s="291"/>
      <c r="K65" s="291"/>
      <c r="L65" s="294"/>
      <c r="M65" s="293"/>
      <c r="N65" s="295"/>
      <c r="O65" s="293"/>
      <c r="P65" s="293"/>
      <c r="Q65" s="293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6"/>
      <c r="EG65" s="296"/>
      <c r="EH65" s="296"/>
      <c r="EI65" s="296"/>
      <c r="EJ65" s="296"/>
      <c r="EK65" s="296"/>
      <c r="EL65" s="296"/>
      <c r="EM65" s="296"/>
    </row>
    <row r="66" spans="2:143" s="289" customFormat="1" ht="18.95" customHeight="1">
      <c r="B66" s="290"/>
      <c r="C66" s="291"/>
      <c r="D66" s="291"/>
      <c r="E66" s="291"/>
      <c r="F66" s="292"/>
      <c r="G66" s="292"/>
      <c r="H66" s="293"/>
      <c r="I66" s="293"/>
      <c r="J66" s="291"/>
      <c r="K66" s="291"/>
      <c r="L66" s="294"/>
      <c r="M66" s="293"/>
      <c r="N66" s="295"/>
      <c r="O66" s="293"/>
      <c r="P66" s="293"/>
      <c r="Q66" s="293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6"/>
      <c r="BP66" s="296"/>
      <c r="BQ66" s="296"/>
      <c r="BR66" s="296"/>
      <c r="BS66" s="296"/>
      <c r="BT66" s="296"/>
      <c r="BU66" s="296"/>
      <c r="BV66" s="296"/>
      <c r="BW66" s="296"/>
      <c r="BX66" s="296"/>
      <c r="BY66" s="296"/>
      <c r="BZ66" s="296"/>
      <c r="CA66" s="296"/>
      <c r="CB66" s="296"/>
      <c r="CC66" s="296"/>
      <c r="CD66" s="296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296"/>
      <c r="EC66" s="296"/>
      <c r="ED66" s="296"/>
      <c r="EE66" s="296"/>
      <c r="EF66" s="296"/>
      <c r="EG66" s="296"/>
      <c r="EH66" s="296"/>
      <c r="EI66" s="296"/>
      <c r="EJ66" s="296"/>
      <c r="EK66" s="296"/>
      <c r="EL66" s="296"/>
      <c r="EM66" s="296"/>
    </row>
    <row r="67" spans="2:143" s="289" customFormat="1" ht="18.95" customHeight="1">
      <c r="B67" s="290"/>
      <c r="C67" s="291"/>
      <c r="D67" s="291"/>
      <c r="E67" s="291"/>
      <c r="F67" s="292"/>
      <c r="G67" s="292"/>
      <c r="H67" s="293"/>
      <c r="I67" s="293"/>
      <c r="J67" s="291"/>
      <c r="K67" s="291"/>
      <c r="L67" s="294"/>
      <c r="M67" s="293"/>
      <c r="N67" s="295"/>
      <c r="O67" s="293"/>
      <c r="P67" s="293"/>
      <c r="Q67" s="293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6"/>
      <c r="BP67" s="296"/>
      <c r="BQ67" s="296"/>
      <c r="BR67" s="296"/>
      <c r="BS67" s="296"/>
      <c r="BT67" s="296"/>
      <c r="BU67" s="296"/>
      <c r="BV67" s="296"/>
      <c r="BW67" s="296"/>
      <c r="BX67" s="296"/>
      <c r="BY67" s="296"/>
      <c r="BZ67" s="296"/>
      <c r="CA67" s="296"/>
      <c r="CB67" s="296"/>
      <c r="CC67" s="296"/>
      <c r="CD67" s="296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296"/>
      <c r="EC67" s="296"/>
      <c r="ED67" s="296"/>
      <c r="EE67" s="296"/>
      <c r="EF67" s="296"/>
      <c r="EG67" s="296"/>
      <c r="EH67" s="296"/>
      <c r="EI67" s="296"/>
      <c r="EJ67" s="296"/>
      <c r="EK67" s="296"/>
      <c r="EL67" s="296"/>
      <c r="EM67" s="296"/>
    </row>
    <row r="68" spans="2:143" s="289" customFormat="1" ht="18.95" customHeight="1">
      <c r="B68" s="290"/>
      <c r="C68" s="291"/>
      <c r="D68" s="291"/>
      <c r="E68" s="291"/>
      <c r="F68" s="292"/>
      <c r="G68" s="292"/>
      <c r="H68" s="293"/>
      <c r="I68" s="293"/>
      <c r="J68" s="291"/>
      <c r="K68" s="291"/>
      <c r="L68" s="294"/>
      <c r="M68" s="293"/>
      <c r="N68" s="295"/>
      <c r="O68" s="293"/>
      <c r="P68" s="293"/>
      <c r="Q68" s="293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6"/>
      <c r="BP68" s="296"/>
      <c r="BQ68" s="296"/>
      <c r="BR68" s="296"/>
      <c r="BS68" s="296"/>
      <c r="BT68" s="296"/>
      <c r="BU68" s="296"/>
      <c r="BV68" s="296"/>
      <c r="BW68" s="296"/>
      <c r="BX68" s="296"/>
      <c r="BY68" s="296"/>
      <c r="BZ68" s="296"/>
      <c r="CA68" s="296"/>
      <c r="CB68" s="296"/>
      <c r="CC68" s="296"/>
      <c r="CD68" s="296"/>
      <c r="CE68" s="296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6"/>
      <c r="CQ68" s="296"/>
      <c r="CR68" s="296"/>
      <c r="CS68" s="296"/>
      <c r="CT68" s="296"/>
      <c r="CU68" s="296"/>
      <c r="CV68" s="296"/>
      <c r="CW68" s="296"/>
      <c r="CX68" s="296"/>
      <c r="CY68" s="296"/>
      <c r="CZ68" s="296"/>
      <c r="DA68" s="296"/>
      <c r="DB68" s="296"/>
      <c r="DC68" s="296"/>
      <c r="DD68" s="296"/>
      <c r="DE68" s="296"/>
      <c r="DF68" s="296"/>
      <c r="DG68" s="296"/>
      <c r="DH68" s="296"/>
      <c r="DI68" s="296"/>
      <c r="DJ68" s="296"/>
      <c r="DK68" s="296"/>
      <c r="DL68" s="29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296"/>
      <c r="EB68" s="296"/>
      <c r="EC68" s="296"/>
      <c r="ED68" s="296"/>
      <c r="EE68" s="296"/>
      <c r="EF68" s="296"/>
      <c r="EG68" s="296"/>
      <c r="EH68" s="296"/>
      <c r="EI68" s="296"/>
      <c r="EJ68" s="296"/>
      <c r="EK68" s="296"/>
      <c r="EL68" s="296"/>
      <c r="EM68" s="296"/>
    </row>
    <row r="69" spans="2:143" s="289" customFormat="1" ht="18.95" customHeight="1">
      <c r="B69" s="290"/>
      <c r="C69" s="291"/>
      <c r="D69" s="291"/>
      <c r="E69" s="291"/>
      <c r="F69" s="292"/>
      <c r="G69" s="292"/>
      <c r="H69" s="293"/>
      <c r="I69" s="293"/>
      <c r="J69" s="291"/>
      <c r="K69" s="291"/>
      <c r="L69" s="294"/>
      <c r="M69" s="293"/>
      <c r="N69" s="295"/>
      <c r="O69" s="293"/>
      <c r="P69" s="293"/>
      <c r="Q69" s="293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6"/>
      <c r="BP69" s="296"/>
      <c r="BQ69" s="296"/>
      <c r="BR69" s="296"/>
      <c r="BS69" s="296"/>
      <c r="BT69" s="296"/>
      <c r="BU69" s="296"/>
      <c r="BV69" s="296"/>
      <c r="BW69" s="296"/>
      <c r="BX69" s="296"/>
      <c r="BY69" s="296"/>
      <c r="BZ69" s="296"/>
      <c r="CA69" s="296"/>
      <c r="CB69" s="296"/>
      <c r="CC69" s="296"/>
      <c r="CD69" s="296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296"/>
      <c r="EC69" s="296"/>
      <c r="ED69" s="296"/>
      <c r="EE69" s="296"/>
      <c r="EF69" s="296"/>
      <c r="EG69" s="296"/>
      <c r="EH69" s="296"/>
      <c r="EI69" s="296"/>
      <c r="EJ69" s="296"/>
      <c r="EK69" s="296"/>
      <c r="EL69" s="296"/>
      <c r="EM69" s="296"/>
    </row>
    <row r="70" spans="2:143" s="289" customFormat="1" ht="18.95" customHeight="1">
      <c r="B70" s="290"/>
      <c r="C70" s="291"/>
      <c r="D70" s="291"/>
      <c r="E70" s="291"/>
      <c r="F70" s="292"/>
      <c r="G70" s="292"/>
      <c r="H70" s="293"/>
      <c r="I70" s="293"/>
      <c r="J70" s="291"/>
      <c r="K70" s="291"/>
      <c r="L70" s="294"/>
      <c r="M70" s="293"/>
      <c r="N70" s="295"/>
      <c r="O70" s="293"/>
      <c r="P70" s="293"/>
      <c r="Q70" s="293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6"/>
      <c r="EG70" s="296"/>
      <c r="EH70" s="296"/>
      <c r="EI70" s="296"/>
      <c r="EJ70" s="296"/>
      <c r="EK70" s="296"/>
      <c r="EL70" s="296"/>
      <c r="EM70" s="296"/>
    </row>
    <row r="71" spans="2:143" s="289" customFormat="1" ht="18.95" customHeight="1">
      <c r="B71" s="290"/>
      <c r="C71" s="291"/>
      <c r="D71" s="291"/>
      <c r="E71" s="291"/>
      <c r="F71" s="292"/>
      <c r="G71" s="292"/>
      <c r="H71" s="293"/>
      <c r="I71" s="293"/>
      <c r="J71" s="291"/>
      <c r="K71" s="291"/>
      <c r="L71" s="294"/>
      <c r="M71" s="293"/>
      <c r="N71" s="295"/>
      <c r="O71" s="293"/>
      <c r="P71" s="293"/>
      <c r="Q71" s="293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6"/>
      <c r="CO71" s="296"/>
      <c r="CP71" s="296"/>
      <c r="CQ71" s="296"/>
      <c r="CR71" s="296"/>
      <c r="CS71" s="296"/>
      <c r="CT71" s="296"/>
      <c r="CU71" s="296"/>
      <c r="CV71" s="296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  <c r="DM71" s="296"/>
      <c r="DN71" s="296"/>
      <c r="DO71" s="296"/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296"/>
      <c r="EB71" s="296"/>
      <c r="EC71" s="296"/>
      <c r="ED71" s="296"/>
      <c r="EE71" s="296"/>
      <c r="EF71" s="296"/>
      <c r="EG71" s="296"/>
      <c r="EH71" s="296"/>
      <c r="EI71" s="296"/>
      <c r="EJ71" s="296"/>
      <c r="EK71" s="296"/>
      <c r="EL71" s="296"/>
      <c r="EM71" s="296"/>
    </row>
    <row r="72" spans="2:143" s="299" customFormat="1">
      <c r="B72" s="297"/>
      <c r="C72" s="297"/>
      <c r="D72" s="297"/>
      <c r="E72" s="297"/>
      <c r="F72" s="298"/>
      <c r="G72" s="298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W72" s="300"/>
      <c r="BX72" s="300"/>
      <c r="BY72" s="300"/>
      <c r="BZ72" s="300"/>
      <c r="CA72" s="300"/>
      <c r="CB72" s="300"/>
      <c r="CC72" s="300"/>
      <c r="CD72" s="300"/>
      <c r="CE72" s="300"/>
      <c r="CF72" s="300"/>
      <c r="CG72" s="300"/>
      <c r="CH72" s="300"/>
      <c r="CI72" s="300"/>
      <c r="CK72" s="300"/>
      <c r="CL72" s="300"/>
      <c r="CM72" s="300"/>
      <c r="CN72" s="300"/>
      <c r="CO72" s="300"/>
      <c r="CP72" s="300"/>
      <c r="CQ72" s="300"/>
      <c r="CR72" s="300"/>
      <c r="CS72" s="300"/>
      <c r="CT72" s="300"/>
      <c r="CU72" s="300"/>
      <c r="CV72" s="300"/>
      <c r="CW72" s="300"/>
      <c r="CY72" s="300"/>
      <c r="CZ72" s="300"/>
      <c r="DA72" s="300"/>
      <c r="DB72" s="300"/>
      <c r="DC72" s="300"/>
      <c r="DD72" s="300"/>
      <c r="DE72" s="300"/>
      <c r="DF72" s="300"/>
      <c r="DG72" s="300"/>
      <c r="DH72" s="300"/>
      <c r="DI72" s="300"/>
      <c r="DJ72" s="300"/>
      <c r="DK72" s="300"/>
      <c r="DM72" s="300"/>
      <c r="DN72" s="300"/>
      <c r="DO72" s="300"/>
      <c r="DP72" s="300"/>
      <c r="DQ72" s="300"/>
      <c r="DR72" s="300"/>
      <c r="DS72" s="300"/>
      <c r="DT72" s="300"/>
      <c r="DU72" s="300"/>
      <c r="DV72" s="300"/>
      <c r="DW72" s="300"/>
      <c r="DX72" s="300"/>
      <c r="DY72" s="300"/>
      <c r="EA72" s="300"/>
      <c r="EB72" s="300"/>
      <c r="EC72" s="300"/>
      <c r="ED72" s="300"/>
      <c r="EE72" s="300"/>
      <c r="EF72" s="300"/>
      <c r="EG72" s="300"/>
      <c r="EH72" s="300"/>
      <c r="EI72" s="300"/>
      <c r="EJ72" s="300"/>
      <c r="EK72" s="300"/>
      <c r="EL72" s="300"/>
      <c r="EM72" s="300"/>
    </row>
    <row r="73" spans="2:143" s="299" customFormat="1">
      <c r="B73" s="297"/>
      <c r="C73" s="297"/>
      <c r="D73" s="297"/>
      <c r="E73" s="297"/>
      <c r="F73" s="298"/>
      <c r="G73" s="298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300"/>
      <c r="CI73" s="300"/>
      <c r="CK73" s="300"/>
      <c r="CL73" s="300"/>
      <c r="CM73" s="300"/>
      <c r="CN73" s="300"/>
      <c r="CO73" s="300"/>
      <c r="CP73" s="300"/>
      <c r="CQ73" s="300"/>
      <c r="CR73" s="300"/>
      <c r="CS73" s="300"/>
      <c r="CT73" s="300"/>
      <c r="CU73" s="300"/>
      <c r="CV73" s="300"/>
      <c r="CW73" s="300"/>
      <c r="CY73" s="300"/>
      <c r="CZ73" s="300"/>
      <c r="DA73" s="300"/>
      <c r="DB73" s="300"/>
      <c r="DC73" s="300"/>
      <c r="DD73" s="300"/>
      <c r="DE73" s="300"/>
      <c r="DF73" s="300"/>
      <c r="DG73" s="300"/>
      <c r="DH73" s="300"/>
      <c r="DI73" s="300"/>
      <c r="DJ73" s="300"/>
      <c r="DK73" s="300"/>
      <c r="DM73" s="300"/>
      <c r="DN73" s="300"/>
      <c r="DO73" s="300"/>
      <c r="DP73" s="300"/>
      <c r="DQ73" s="300"/>
      <c r="DR73" s="300"/>
      <c r="DS73" s="300"/>
      <c r="DT73" s="300"/>
      <c r="DU73" s="300"/>
      <c r="DV73" s="300"/>
      <c r="DW73" s="300"/>
      <c r="DX73" s="300"/>
      <c r="DY73" s="300"/>
      <c r="EA73" s="300"/>
      <c r="EB73" s="300"/>
      <c r="EC73" s="300"/>
      <c r="ED73" s="300"/>
      <c r="EE73" s="300"/>
      <c r="EF73" s="300"/>
      <c r="EG73" s="300"/>
      <c r="EH73" s="300"/>
      <c r="EI73" s="300"/>
      <c r="EJ73" s="300"/>
      <c r="EK73" s="300"/>
      <c r="EL73" s="300"/>
      <c r="EM73" s="300"/>
    </row>
  </sheetData>
  <dataValidations count="1">
    <dataValidation type="list" allowBlank="1" showInputMessage="1" showErrorMessage="1" sqref="N6:N7">
      <formula1>"1200,1800,2400,3000,3600,4200"</formula1>
    </dataValidation>
  </dataValidations>
  <printOptions horizontalCentered="1" verticalCentered="1"/>
  <pageMargins left="0.35433070866141736" right="0.35433070866141736" top="0.78740157480314965" bottom="0.78740157480314965" header="0.31496062992125984" footer="0.31496062992125984"/>
  <pageSetup paperSize="8" scale="83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E29"/>
  <sheetViews>
    <sheetView showGridLines="0" workbookViewId="0">
      <pane xSplit="4" ySplit="1" topLeftCell="E2" activePane="bottomRight" state="frozen"/>
      <selection activeCell="BM36" sqref="BM36"/>
      <selection pane="topRight" activeCell="BM36" sqref="BM36"/>
      <selection pane="bottomLeft" activeCell="BM36" sqref="BM36"/>
      <selection pane="bottomRight" activeCell="S4" sqref="S4"/>
    </sheetView>
  </sheetViews>
  <sheetFormatPr defaultColWidth="10.85546875" defaultRowHeight="15.75" outlineLevelRow="1" outlineLevelCol="1"/>
  <cols>
    <col min="1" max="1" width="21" style="241" customWidth="1" outlineLevel="1"/>
    <col min="2" max="2" width="55.140625" style="241" customWidth="1" outlineLevel="1"/>
    <col min="3" max="3" width="12.28515625" style="241" customWidth="1"/>
    <col min="4" max="4" width="22.140625" style="254" bestFit="1" customWidth="1"/>
    <col min="5" max="5" width="10.140625" style="1" hidden="1" customWidth="1" outlineLevel="1"/>
    <col min="6" max="16" width="11.42578125" style="1" hidden="1" customWidth="1" outlineLevel="1"/>
    <col min="17" max="17" width="13.7109375" style="1" bestFit="1" customWidth="1" collapsed="1"/>
    <col min="18" max="18" width="2.42578125" style="1" customWidth="1"/>
    <col min="19" max="30" width="11.42578125" style="1" customWidth="1" outlineLevel="1"/>
    <col min="31" max="31" width="14.85546875" style="1" customWidth="1"/>
    <col min="32" max="16384" width="10.85546875" style="1"/>
  </cols>
  <sheetData>
    <row r="1" spans="1:31" outlineLevel="1">
      <c r="D1" s="250"/>
      <c r="E1" s="114">
        <v>42736</v>
      </c>
      <c r="F1" s="114">
        <v>42767</v>
      </c>
      <c r="G1" s="114">
        <v>42795</v>
      </c>
      <c r="H1" s="114">
        <v>42826</v>
      </c>
      <c r="I1" s="114">
        <v>42856</v>
      </c>
      <c r="J1" s="114">
        <v>42887</v>
      </c>
      <c r="K1" s="114">
        <v>42917</v>
      </c>
      <c r="L1" s="114">
        <v>42948</v>
      </c>
      <c r="M1" s="114">
        <v>42979</v>
      </c>
      <c r="N1" s="91">
        <v>43009</v>
      </c>
      <c r="O1" s="91">
        <v>43040</v>
      </c>
      <c r="P1" s="91">
        <v>43070</v>
      </c>
      <c r="Q1" s="112">
        <v>2017</v>
      </c>
      <c r="R1" s="87"/>
      <c r="S1" s="89">
        <v>43101</v>
      </c>
      <c r="T1" s="89">
        <v>43132</v>
      </c>
      <c r="U1" s="89">
        <v>43160</v>
      </c>
      <c r="V1" s="89">
        <v>43191</v>
      </c>
      <c r="W1" s="89">
        <v>43221</v>
      </c>
      <c r="X1" s="89">
        <v>43252</v>
      </c>
      <c r="Y1" s="89">
        <v>43282</v>
      </c>
      <c r="Z1" s="89">
        <v>43313</v>
      </c>
      <c r="AA1" s="89">
        <v>43344</v>
      </c>
      <c r="AB1" s="89">
        <v>43374</v>
      </c>
      <c r="AC1" s="89">
        <v>43405</v>
      </c>
      <c r="AD1" s="89">
        <v>43435</v>
      </c>
      <c r="AE1" s="113">
        <v>2018</v>
      </c>
    </row>
    <row r="2" spans="1:31" outlineLevel="1">
      <c r="A2" s="242" t="s">
        <v>238</v>
      </c>
      <c r="C2" s="241" t="s">
        <v>162</v>
      </c>
      <c r="D2" s="250"/>
      <c r="E2" s="115" t="s">
        <v>130</v>
      </c>
      <c r="F2" s="115" t="s">
        <v>130</v>
      </c>
      <c r="G2" s="115" t="s">
        <v>130</v>
      </c>
      <c r="H2" s="115" t="s">
        <v>130</v>
      </c>
      <c r="I2" s="115" t="s">
        <v>130</v>
      </c>
      <c r="J2" s="115" t="s">
        <v>130</v>
      </c>
      <c r="K2" s="115" t="s">
        <v>130</v>
      </c>
      <c r="L2" s="115" t="s">
        <v>130</v>
      </c>
      <c r="M2" s="115" t="s">
        <v>130</v>
      </c>
      <c r="N2" s="94" t="s">
        <v>130</v>
      </c>
      <c r="O2" s="94" t="s">
        <v>130</v>
      </c>
      <c r="P2" s="94" t="s">
        <v>130</v>
      </c>
      <c r="Q2" s="94" t="s">
        <v>0</v>
      </c>
      <c r="R2" s="87"/>
      <c r="S2" s="93" t="s">
        <v>130</v>
      </c>
      <c r="T2" s="93" t="s">
        <v>130</v>
      </c>
      <c r="U2" s="93" t="s">
        <v>130</v>
      </c>
      <c r="V2" s="93" t="s">
        <v>130</v>
      </c>
      <c r="W2" s="93" t="s">
        <v>130</v>
      </c>
      <c r="X2" s="93" t="s">
        <v>130</v>
      </c>
      <c r="Y2" s="93" t="s">
        <v>130</v>
      </c>
      <c r="Z2" s="93" t="s">
        <v>130</v>
      </c>
      <c r="AA2" s="93" t="s">
        <v>130</v>
      </c>
      <c r="AB2" s="93" t="s">
        <v>130</v>
      </c>
      <c r="AC2" s="93" t="s">
        <v>130</v>
      </c>
      <c r="AD2" s="93" t="s">
        <v>130</v>
      </c>
      <c r="AE2" s="93" t="s">
        <v>0</v>
      </c>
    </row>
    <row r="3" spans="1:31" ht="45.75" outlineLevel="1">
      <c r="A3" s="243" t="s">
        <v>239</v>
      </c>
      <c r="B3" s="243" t="s">
        <v>240</v>
      </c>
      <c r="C3" s="243" t="s">
        <v>218</v>
      </c>
      <c r="D3" s="251" t="s">
        <v>220</v>
      </c>
      <c r="E3" s="116" t="s">
        <v>79</v>
      </c>
      <c r="F3" s="116" t="s">
        <v>79</v>
      </c>
      <c r="G3" s="116" t="s">
        <v>79</v>
      </c>
      <c r="H3" s="116" t="s">
        <v>79</v>
      </c>
      <c r="I3" s="116" t="s">
        <v>79</v>
      </c>
      <c r="J3" s="116" t="s">
        <v>79</v>
      </c>
      <c r="K3" s="116" t="s">
        <v>79</v>
      </c>
      <c r="L3" s="116" t="s">
        <v>79</v>
      </c>
      <c r="M3" s="116" t="s">
        <v>79</v>
      </c>
      <c r="N3" s="95" t="s">
        <v>131</v>
      </c>
      <c r="O3" s="95" t="s">
        <v>131</v>
      </c>
      <c r="P3" s="95" t="s">
        <v>131</v>
      </c>
      <c r="Q3" s="95" t="s">
        <v>131</v>
      </c>
      <c r="R3" s="87"/>
      <c r="S3" s="38" t="s">
        <v>132</v>
      </c>
      <c r="T3" s="38" t="s">
        <v>132</v>
      </c>
      <c r="U3" s="38" t="s">
        <v>132</v>
      </c>
      <c r="V3" s="38" t="s">
        <v>132</v>
      </c>
      <c r="W3" s="38" t="s">
        <v>132</v>
      </c>
      <c r="X3" s="38" t="s">
        <v>132</v>
      </c>
      <c r="Y3" s="38" t="s">
        <v>132</v>
      </c>
      <c r="Z3" s="38" t="s">
        <v>132</v>
      </c>
      <c r="AA3" s="38" t="s">
        <v>132</v>
      </c>
      <c r="AB3" s="38" t="s">
        <v>132</v>
      </c>
      <c r="AC3" s="38" t="s">
        <v>132</v>
      </c>
      <c r="AD3" s="38" t="s">
        <v>132</v>
      </c>
      <c r="AE3" s="38" t="s">
        <v>133</v>
      </c>
    </row>
    <row r="4" spans="1:31" outlineLevel="1">
      <c r="A4" s="245">
        <v>12</v>
      </c>
      <c r="B4" s="246" t="s">
        <v>242</v>
      </c>
      <c r="C4" s="248">
        <v>3100</v>
      </c>
      <c r="D4" s="246" t="s">
        <v>63</v>
      </c>
      <c r="E4" s="41">
        <v>25000</v>
      </c>
      <c r="F4" s="41">
        <v>25000</v>
      </c>
      <c r="G4" s="41">
        <v>25000</v>
      </c>
      <c r="H4" s="41">
        <v>25000</v>
      </c>
      <c r="I4" s="41">
        <v>25000</v>
      </c>
      <c r="J4" s="41">
        <v>25000</v>
      </c>
      <c r="K4" s="41">
        <v>25000</v>
      </c>
      <c r="L4" s="41">
        <v>25000</v>
      </c>
      <c r="M4" s="41">
        <v>25000</v>
      </c>
      <c r="N4" s="41">
        <v>25000</v>
      </c>
      <c r="O4" s="41">
        <v>25000</v>
      </c>
      <c r="P4" s="41">
        <v>25000</v>
      </c>
      <c r="Q4" s="41">
        <f t="shared" ref="Q4:Q12" si="0">SUM(E4:P4)</f>
        <v>300000</v>
      </c>
      <c r="R4" s="96"/>
      <c r="S4" s="307">
        <f>osobni!DQ35</f>
        <v>25000</v>
      </c>
      <c r="T4" s="307">
        <f>osobni!DR35</f>
        <v>25000</v>
      </c>
      <c r="U4" s="307">
        <f>osobni!DS35</f>
        <v>25000</v>
      </c>
      <c r="V4" s="307">
        <f>osobni!DT35</f>
        <v>25000</v>
      </c>
      <c r="W4" s="307">
        <f>osobni!DU35</f>
        <v>25000</v>
      </c>
      <c r="X4" s="307">
        <f>osobni!DV35</f>
        <v>25000</v>
      </c>
      <c r="Y4" s="307">
        <f>osobni!DW35</f>
        <v>25000</v>
      </c>
      <c r="Z4" s="307">
        <f>osobni!DX35</f>
        <v>25000</v>
      </c>
      <c r="AA4" s="307">
        <f>osobni!DY35</f>
        <v>25000</v>
      </c>
      <c r="AB4" s="307">
        <f>osobni!DZ35</f>
        <v>25000</v>
      </c>
      <c r="AC4" s="307">
        <f>osobni!EA35</f>
        <v>25000</v>
      </c>
      <c r="AD4" s="307">
        <f>osobni!EB35</f>
        <v>25000</v>
      </c>
      <c r="AE4" s="41">
        <f t="shared" ref="AE4:AE12" si="1">SUM(S4:AD4)</f>
        <v>300000</v>
      </c>
    </row>
    <row r="5" spans="1:31" outlineLevel="1">
      <c r="A5" s="245">
        <v>15</v>
      </c>
      <c r="B5" s="246" t="s">
        <v>243</v>
      </c>
      <c r="C5" s="248">
        <v>1100</v>
      </c>
      <c r="D5" s="246" t="s">
        <v>149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32000</v>
      </c>
      <c r="P5" s="41">
        <v>0</v>
      </c>
      <c r="Q5" s="41">
        <f t="shared" si="0"/>
        <v>32000</v>
      </c>
      <c r="R5" s="96"/>
      <c r="S5" s="41">
        <v>3000</v>
      </c>
      <c r="T5" s="41">
        <v>3000</v>
      </c>
      <c r="U5" s="41">
        <v>3000</v>
      </c>
      <c r="V5" s="41">
        <v>3000</v>
      </c>
      <c r="W5" s="41">
        <v>3000</v>
      </c>
      <c r="X5" s="41">
        <v>3000</v>
      </c>
      <c r="Y5" s="41">
        <v>3000</v>
      </c>
      <c r="Z5" s="41">
        <v>3000</v>
      </c>
      <c r="AA5" s="41">
        <v>3000</v>
      </c>
      <c r="AB5" s="41">
        <v>3000</v>
      </c>
      <c r="AC5" s="41">
        <v>3000</v>
      </c>
      <c r="AD5" s="41">
        <v>3000</v>
      </c>
      <c r="AE5" s="41">
        <f>SUM(S5:AD5)</f>
        <v>36000</v>
      </c>
    </row>
    <row r="6" spans="1:31" outlineLevel="1">
      <c r="A6" s="245">
        <v>16</v>
      </c>
      <c r="B6" s="246" t="s">
        <v>244</v>
      </c>
      <c r="C6" s="248">
        <v>3100</v>
      </c>
      <c r="D6" s="246" t="s">
        <v>63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20000</v>
      </c>
      <c r="Q6" s="41">
        <f t="shared" si="0"/>
        <v>20000</v>
      </c>
      <c r="R6" s="96"/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20000</v>
      </c>
      <c r="AE6" s="41">
        <f t="shared" si="1"/>
        <v>20000</v>
      </c>
    </row>
    <row r="7" spans="1:31" outlineLevel="1">
      <c r="A7" s="245">
        <v>18</v>
      </c>
      <c r="B7" s="246" t="s">
        <v>245</v>
      </c>
      <c r="C7" s="248">
        <v>3100</v>
      </c>
      <c r="D7" s="246" t="s">
        <v>63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20000</v>
      </c>
      <c r="Q7" s="41">
        <f t="shared" si="0"/>
        <v>20000</v>
      </c>
      <c r="R7" s="96"/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20000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f t="shared" si="1"/>
        <v>20000</v>
      </c>
    </row>
    <row r="8" spans="1:31" outlineLevel="1">
      <c r="A8" s="245">
        <v>28</v>
      </c>
      <c r="B8" s="246" t="s">
        <v>261</v>
      </c>
      <c r="C8" s="248">
        <v>3100</v>
      </c>
      <c r="D8" s="246" t="s">
        <v>63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48000</v>
      </c>
      <c r="P8" s="41">
        <v>0</v>
      </c>
      <c r="Q8" s="41">
        <f t="shared" si="0"/>
        <v>48000</v>
      </c>
      <c r="R8" s="96"/>
      <c r="S8" s="41">
        <f>2*2000</f>
        <v>4000</v>
      </c>
      <c r="T8" s="41">
        <f t="shared" ref="T8:AD8" si="2">2*2000</f>
        <v>4000</v>
      </c>
      <c r="U8" s="41">
        <f t="shared" si="2"/>
        <v>4000</v>
      </c>
      <c r="V8" s="41">
        <f t="shared" si="2"/>
        <v>4000</v>
      </c>
      <c r="W8" s="41">
        <f t="shared" si="2"/>
        <v>4000</v>
      </c>
      <c r="X8" s="41">
        <f t="shared" si="2"/>
        <v>4000</v>
      </c>
      <c r="Y8" s="41">
        <f t="shared" si="2"/>
        <v>4000</v>
      </c>
      <c r="Z8" s="41">
        <f t="shared" si="2"/>
        <v>4000</v>
      </c>
      <c r="AA8" s="41">
        <f t="shared" si="2"/>
        <v>4000</v>
      </c>
      <c r="AB8" s="41">
        <f t="shared" si="2"/>
        <v>4000</v>
      </c>
      <c r="AC8" s="41">
        <f t="shared" si="2"/>
        <v>4000</v>
      </c>
      <c r="AD8" s="41">
        <f t="shared" si="2"/>
        <v>4000</v>
      </c>
      <c r="AE8" s="41">
        <f t="shared" si="1"/>
        <v>48000</v>
      </c>
    </row>
    <row r="9" spans="1:31" outlineLevel="1">
      <c r="A9" s="245">
        <v>29</v>
      </c>
      <c r="B9" s="246" t="s">
        <v>265</v>
      </c>
      <c r="C9" s="248">
        <v>3100</v>
      </c>
      <c r="D9" s="246" t="s">
        <v>63</v>
      </c>
      <c r="E9" s="41">
        <v>700</v>
      </c>
      <c r="F9" s="41">
        <v>700</v>
      </c>
      <c r="G9" s="41">
        <v>700</v>
      </c>
      <c r="H9" s="41">
        <v>700</v>
      </c>
      <c r="I9" s="41">
        <v>700</v>
      </c>
      <c r="J9" s="41">
        <v>700</v>
      </c>
      <c r="K9" s="41">
        <v>700</v>
      </c>
      <c r="L9" s="41">
        <v>700</v>
      </c>
      <c r="M9" s="41">
        <v>700</v>
      </c>
      <c r="N9" s="41">
        <v>700</v>
      </c>
      <c r="O9" s="41">
        <v>700</v>
      </c>
      <c r="P9" s="41">
        <v>700</v>
      </c>
      <c r="Q9" s="41">
        <f t="shared" si="0"/>
        <v>8400</v>
      </c>
      <c r="R9" s="96"/>
      <c r="S9" s="41">
        <v>700</v>
      </c>
      <c r="T9" s="41">
        <v>700</v>
      </c>
      <c r="U9" s="41">
        <v>700</v>
      </c>
      <c r="V9" s="41">
        <v>700</v>
      </c>
      <c r="W9" s="41">
        <v>700</v>
      </c>
      <c r="X9" s="41">
        <v>700</v>
      </c>
      <c r="Y9" s="41">
        <v>700</v>
      </c>
      <c r="Z9" s="41">
        <v>700</v>
      </c>
      <c r="AA9" s="41">
        <v>700</v>
      </c>
      <c r="AB9" s="41">
        <v>700</v>
      </c>
      <c r="AC9" s="41">
        <v>700</v>
      </c>
      <c r="AD9" s="41">
        <v>700</v>
      </c>
      <c r="AE9" s="41">
        <f t="shared" si="1"/>
        <v>8400</v>
      </c>
    </row>
    <row r="10" spans="1:31" outlineLevel="1">
      <c r="A10" s="245">
        <v>31</v>
      </c>
      <c r="B10" s="246" t="s">
        <v>407</v>
      </c>
      <c r="C10" s="248">
        <v>3100</v>
      </c>
      <c r="D10" s="246" t="s">
        <v>63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f t="shared" si="0"/>
        <v>0</v>
      </c>
      <c r="R10" s="96"/>
      <c r="S10" s="41">
        <v>2500</v>
      </c>
      <c r="T10" s="41">
        <v>2500</v>
      </c>
      <c r="U10" s="41">
        <v>2500</v>
      </c>
      <c r="V10" s="41">
        <v>2500</v>
      </c>
      <c r="W10" s="41">
        <v>2500</v>
      </c>
      <c r="X10" s="41">
        <v>2500</v>
      </c>
      <c r="Y10" s="41">
        <v>2500</v>
      </c>
      <c r="Z10" s="41">
        <v>2500</v>
      </c>
      <c r="AA10" s="41">
        <v>2500</v>
      </c>
      <c r="AB10" s="41">
        <v>2500</v>
      </c>
      <c r="AC10" s="41">
        <v>2500</v>
      </c>
      <c r="AD10" s="41">
        <v>2500</v>
      </c>
      <c r="AE10" s="41">
        <f t="shared" si="1"/>
        <v>30000</v>
      </c>
    </row>
    <row r="11" spans="1:31" outlineLevel="1">
      <c r="A11" s="362"/>
      <c r="B11" s="317"/>
      <c r="C11" s="248"/>
      <c r="D11" s="246"/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f t="shared" si="0"/>
        <v>0</v>
      </c>
      <c r="R11" s="96"/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f t="shared" si="1"/>
        <v>0</v>
      </c>
    </row>
    <row r="12" spans="1:31" outlineLevel="1">
      <c r="A12" s="245"/>
      <c r="B12" s="246"/>
      <c r="C12" s="248"/>
      <c r="D12" s="246"/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f t="shared" si="0"/>
        <v>0</v>
      </c>
      <c r="R12" s="96"/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f t="shared" si="1"/>
        <v>0</v>
      </c>
    </row>
    <row r="13" spans="1:31" s="127" customFormat="1" outlineLevel="1">
      <c r="A13" s="242"/>
      <c r="B13" s="242" t="s">
        <v>241</v>
      </c>
      <c r="C13" s="242"/>
      <c r="D13" s="252"/>
      <c r="E13" s="244">
        <f t="shared" ref="E13:Q13" si="3">SUM(E4:E12)</f>
        <v>25700</v>
      </c>
      <c r="F13" s="244">
        <f t="shared" si="3"/>
        <v>25700</v>
      </c>
      <c r="G13" s="244">
        <f t="shared" si="3"/>
        <v>25700</v>
      </c>
      <c r="H13" s="244">
        <f t="shared" si="3"/>
        <v>25700</v>
      </c>
      <c r="I13" s="244">
        <f t="shared" si="3"/>
        <v>25700</v>
      </c>
      <c r="J13" s="244">
        <f t="shared" si="3"/>
        <v>25700</v>
      </c>
      <c r="K13" s="244">
        <f t="shared" si="3"/>
        <v>25700</v>
      </c>
      <c r="L13" s="244">
        <f t="shared" si="3"/>
        <v>25700</v>
      </c>
      <c r="M13" s="244">
        <f t="shared" si="3"/>
        <v>25700</v>
      </c>
      <c r="N13" s="244">
        <f t="shared" si="3"/>
        <v>25700</v>
      </c>
      <c r="O13" s="244">
        <f t="shared" si="3"/>
        <v>105700</v>
      </c>
      <c r="P13" s="244">
        <f t="shared" si="3"/>
        <v>65700</v>
      </c>
      <c r="Q13" s="244">
        <f t="shared" si="3"/>
        <v>428400</v>
      </c>
      <c r="S13" s="244">
        <f t="shared" ref="S13:AE13" si="4">SUM(S4:S12)</f>
        <v>35200</v>
      </c>
      <c r="T13" s="244">
        <f t="shared" si="4"/>
        <v>35200</v>
      </c>
      <c r="U13" s="244">
        <f t="shared" si="4"/>
        <v>35200</v>
      </c>
      <c r="V13" s="244">
        <f t="shared" si="4"/>
        <v>35200</v>
      </c>
      <c r="W13" s="244">
        <f t="shared" si="4"/>
        <v>35200</v>
      </c>
      <c r="X13" s="244">
        <f t="shared" si="4"/>
        <v>55200</v>
      </c>
      <c r="Y13" s="244">
        <f t="shared" si="4"/>
        <v>35200</v>
      </c>
      <c r="Z13" s="244">
        <f t="shared" si="4"/>
        <v>35200</v>
      </c>
      <c r="AA13" s="244">
        <f t="shared" si="4"/>
        <v>35200</v>
      </c>
      <c r="AB13" s="244">
        <f t="shared" si="4"/>
        <v>35200</v>
      </c>
      <c r="AC13" s="244">
        <f t="shared" si="4"/>
        <v>35200</v>
      </c>
      <c r="AD13" s="244">
        <f t="shared" si="4"/>
        <v>55200</v>
      </c>
      <c r="AE13" s="244">
        <f t="shared" si="4"/>
        <v>462400</v>
      </c>
    </row>
    <row r="15" spans="1:31"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10</v>
      </c>
      <c r="M15" s="1">
        <v>11</v>
      </c>
      <c r="N15" s="1">
        <v>12</v>
      </c>
      <c r="O15" s="1">
        <v>13</v>
      </c>
      <c r="P15" s="1">
        <v>14</v>
      </c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  <c r="X15" s="1">
        <v>22</v>
      </c>
      <c r="Y15" s="1">
        <v>23</v>
      </c>
      <c r="Z15" s="1">
        <v>24</v>
      </c>
      <c r="AA15" s="1">
        <v>25</v>
      </c>
      <c r="AB15" s="1">
        <v>26</v>
      </c>
      <c r="AC15" s="1">
        <v>27</v>
      </c>
      <c r="AD15" s="1">
        <v>28</v>
      </c>
      <c r="AE15" s="1">
        <v>29</v>
      </c>
    </row>
    <row r="16" spans="1:31">
      <c r="C16" s="242" t="s">
        <v>216</v>
      </c>
      <c r="D16" s="253"/>
      <c r="E16" s="114">
        <v>42736</v>
      </c>
      <c r="F16" s="114">
        <v>42767</v>
      </c>
      <c r="G16" s="114">
        <v>42795</v>
      </c>
      <c r="H16" s="114">
        <v>42826</v>
      </c>
      <c r="I16" s="114">
        <v>42856</v>
      </c>
      <c r="J16" s="114">
        <v>42887</v>
      </c>
      <c r="K16" s="114">
        <v>42917</v>
      </c>
      <c r="L16" s="114">
        <v>42948</v>
      </c>
      <c r="M16" s="114">
        <v>42979</v>
      </c>
      <c r="N16" s="91">
        <v>43009</v>
      </c>
      <c r="O16" s="91">
        <v>43040</v>
      </c>
      <c r="P16" s="91">
        <v>43070</v>
      </c>
      <c r="Q16" s="112">
        <v>2017</v>
      </c>
      <c r="S16" s="89">
        <v>43101</v>
      </c>
      <c r="T16" s="89">
        <v>43132</v>
      </c>
      <c r="U16" s="89">
        <v>43160</v>
      </c>
      <c r="V16" s="89">
        <v>43191</v>
      </c>
      <c r="W16" s="89">
        <v>43221</v>
      </c>
      <c r="X16" s="89">
        <v>43252</v>
      </c>
      <c r="Y16" s="89">
        <v>43282</v>
      </c>
      <c r="Z16" s="89">
        <v>43313</v>
      </c>
      <c r="AA16" s="89">
        <v>43344</v>
      </c>
      <c r="AB16" s="89">
        <v>43374</v>
      </c>
      <c r="AC16" s="89">
        <v>43405</v>
      </c>
      <c r="AD16" s="89">
        <v>43435</v>
      </c>
      <c r="AE16" s="113">
        <v>2018</v>
      </c>
    </row>
    <row r="17" spans="1:31">
      <c r="C17" s="248">
        <v>1100</v>
      </c>
      <c r="D17" s="246" t="s">
        <v>149</v>
      </c>
      <c r="E17" s="41">
        <f t="shared" ref="E17:Q28" si="5">SUMIF($C$1:$C$13,$C17,E$1:E$13)</f>
        <v>0</v>
      </c>
      <c r="F17" s="41">
        <f t="shared" si="5"/>
        <v>0</v>
      </c>
      <c r="G17" s="41">
        <f t="shared" si="5"/>
        <v>0</v>
      </c>
      <c r="H17" s="41">
        <f t="shared" si="5"/>
        <v>0</v>
      </c>
      <c r="I17" s="41">
        <f t="shared" si="5"/>
        <v>0</v>
      </c>
      <c r="J17" s="41">
        <f t="shared" si="5"/>
        <v>0</v>
      </c>
      <c r="K17" s="41">
        <f t="shared" si="5"/>
        <v>0</v>
      </c>
      <c r="L17" s="41">
        <f t="shared" si="5"/>
        <v>0</v>
      </c>
      <c r="M17" s="41">
        <f t="shared" si="5"/>
        <v>0</v>
      </c>
      <c r="N17" s="41">
        <f t="shared" si="5"/>
        <v>0</v>
      </c>
      <c r="O17" s="41">
        <f t="shared" si="5"/>
        <v>32000</v>
      </c>
      <c r="P17" s="41">
        <f t="shared" si="5"/>
        <v>0</v>
      </c>
      <c r="Q17" s="41">
        <f t="shared" si="5"/>
        <v>32000</v>
      </c>
      <c r="S17" s="41">
        <f t="shared" ref="S17:AE28" si="6">SUMIF($C$1:$C$13,$C17,S$1:S$13)</f>
        <v>3000</v>
      </c>
      <c r="T17" s="41">
        <f t="shared" si="6"/>
        <v>3000</v>
      </c>
      <c r="U17" s="41">
        <f t="shared" si="6"/>
        <v>3000</v>
      </c>
      <c r="V17" s="41">
        <f t="shared" si="6"/>
        <v>3000</v>
      </c>
      <c r="W17" s="41">
        <f t="shared" si="6"/>
        <v>3000</v>
      </c>
      <c r="X17" s="41">
        <f t="shared" si="6"/>
        <v>3000</v>
      </c>
      <c r="Y17" s="41">
        <f t="shared" si="6"/>
        <v>3000</v>
      </c>
      <c r="Z17" s="41">
        <f t="shared" si="6"/>
        <v>3000</v>
      </c>
      <c r="AA17" s="41">
        <f t="shared" si="6"/>
        <v>3000</v>
      </c>
      <c r="AB17" s="41">
        <f t="shared" si="6"/>
        <v>3000</v>
      </c>
      <c r="AC17" s="41">
        <f t="shared" si="6"/>
        <v>3000</v>
      </c>
      <c r="AD17" s="41">
        <f t="shared" si="6"/>
        <v>3000</v>
      </c>
      <c r="AE17" s="41">
        <f t="shared" si="6"/>
        <v>36000</v>
      </c>
    </row>
    <row r="18" spans="1:31">
      <c r="C18" s="248">
        <v>1200</v>
      </c>
      <c r="D18" s="246" t="s">
        <v>75</v>
      </c>
      <c r="E18" s="41">
        <f t="shared" si="5"/>
        <v>0</v>
      </c>
      <c r="F18" s="41">
        <f t="shared" si="5"/>
        <v>0</v>
      </c>
      <c r="G18" s="41">
        <f t="shared" si="5"/>
        <v>0</v>
      </c>
      <c r="H18" s="41">
        <f t="shared" si="5"/>
        <v>0</v>
      </c>
      <c r="I18" s="41">
        <f t="shared" si="5"/>
        <v>0</v>
      </c>
      <c r="J18" s="41">
        <f t="shared" si="5"/>
        <v>0</v>
      </c>
      <c r="K18" s="41">
        <f t="shared" si="5"/>
        <v>0</v>
      </c>
      <c r="L18" s="41">
        <f t="shared" si="5"/>
        <v>0</v>
      </c>
      <c r="M18" s="41">
        <f t="shared" si="5"/>
        <v>0</v>
      </c>
      <c r="N18" s="41">
        <f t="shared" si="5"/>
        <v>0</v>
      </c>
      <c r="O18" s="41">
        <f t="shared" si="5"/>
        <v>0</v>
      </c>
      <c r="P18" s="41">
        <f t="shared" si="5"/>
        <v>0</v>
      </c>
      <c r="Q18" s="41">
        <f t="shared" si="5"/>
        <v>0</v>
      </c>
      <c r="S18" s="41">
        <f t="shared" si="6"/>
        <v>0</v>
      </c>
      <c r="T18" s="41">
        <f t="shared" si="6"/>
        <v>0</v>
      </c>
      <c r="U18" s="41">
        <f t="shared" si="6"/>
        <v>0</v>
      </c>
      <c r="V18" s="41">
        <f t="shared" si="6"/>
        <v>0</v>
      </c>
      <c r="W18" s="41">
        <f t="shared" si="6"/>
        <v>0</v>
      </c>
      <c r="X18" s="41">
        <f t="shared" si="6"/>
        <v>0</v>
      </c>
      <c r="Y18" s="41">
        <f t="shared" si="6"/>
        <v>0</v>
      </c>
      <c r="Z18" s="41">
        <f t="shared" si="6"/>
        <v>0</v>
      </c>
      <c r="AA18" s="41">
        <f t="shared" si="6"/>
        <v>0</v>
      </c>
      <c r="AB18" s="41">
        <f t="shared" si="6"/>
        <v>0</v>
      </c>
      <c r="AC18" s="41">
        <f t="shared" si="6"/>
        <v>0</v>
      </c>
      <c r="AD18" s="41">
        <f t="shared" si="6"/>
        <v>0</v>
      </c>
      <c r="AE18" s="41">
        <f t="shared" si="6"/>
        <v>0</v>
      </c>
    </row>
    <row r="19" spans="1:31">
      <c r="C19" s="248">
        <v>2200</v>
      </c>
      <c r="D19" s="246" t="s">
        <v>457</v>
      </c>
      <c r="E19" s="41">
        <f t="shared" si="5"/>
        <v>0</v>
      </c>
      <c r="F19" s="41">
        <f t="shared" si="5"/>
        <v>0</v>
      </c>
      <c r="G19" s="41">
        <f t="shared" si="5"/>
        <v>0</v>
      </c>
      <c r="H19" s="41">
        <f t="shared" si="5"/>
        <v>0</v>
      </c>
      <c r="I19" s="41">
        <f t="shared" si="5"/>
        <v>0</v>
      </c>
      <c r="J19" s="41">
        <f t="shared" si="5"/>
        <v>0</v>
      </c>
      <c r="K19" s="41">
        <f t="shared" si="5"/>
        <v>0</v>
      </c>
      <c r="L19" s="41">
        <f t="shared" si="5"/>
        <v>0</v>
      </c>
      <c r="M19" s="41">
        <f t="shared" si="5"/>
        <v>0</v>
      </c>
      <c r="N19" s="41">
        <f t="shared" si="5"/>
        <v>0</v>
      </c>
      <c r="O19" s="41">
        <f t="shared" si="5"/>
        <v>0</v>
      </c>
      <c r="P19" s="41">
        <f t="shared" si="5"/>
        <v>0</v>
      </c>
      <c r="Q19" s="41">
        <f t="shared" si="5"/>
        <v>0</v>
      </c>
      <c r="S19" s="41">
        <f t="shared" si="6"/>
        <v>0</v>
      </c>
      <c r="T19" s="41">
        <f t="shared" si="6"/>
        <v>0</v>
      </c>
      <c r="U19" s="41">
        <f t="shared" si="6"/>
        <v>0</v>
      </c>
      <c r="V19" s="41">
        <f t="shared" si="6"/>
        <v>0</v>
      </c>
      <c r="W19" s="41">
        <f t="shared" si="6"/>
        <v>0</v>
      </c>
      <c r="X19" s="41">
        <f t="shared" si="6"/>
        <v>0</v>
      </c>
      <c r="Y19" s="41">
        <f t="shared" si="6"/>
        <v>0</v>
      </c>
      <c r="Z19" s="41">
        <f t="shared" si="6"/>
        <v>0</v>
      </c>
      <c r="AA19" s="41">
        <f t="shared" si="6"/>
        <v>0</v>
      </c>
      <c r="AB19" s="41">
        <f t="shared" si="6"/>
        <v>0</v>
      </c>
      <c r="AC19" s="41">
        <f t="shared" si="6"/>
        <v>0</v>
      </c>
      <c r="AD19" s="41">
        <f t="shared" si="6"/>
        <v>0</v>
      </c>
      <c r="AE19" s="41">
        <f t="shared" si="6"/>
        <v>0</v>
      </c>
    </row>
    <row r="20" spans="1:31">
      <c r="C20" s="248">
        <v>3100</v>
      </c>
      <c r="D20" s="246" t="s">
        <v>63</v>
      </c>
      <c r="E20" s="41">
        <f t="shared" si="5"/>
        <v>25700</v>
      </c>
      <c r="F20" s="41">
        <f t="shared" si="5"/>
        <v>25700</v>
      </c>
      <c r="G20" s="41">
        <f t="shared" si="5"/>
        <v>25700</v>
      </c>
      <c r="H20" s="41">
        <f t="shared" si="5"/>
        <v>25700</v>
      </c>
      <c r="I20" s="41">
        <f t="shared" si="5"/>
        <v>25700</v>
      </c>
      <c r="J20" s="41">
        <f t="shared" si="5"/>
        <v>25700</v>
      </c>
      <c r="K20" s="41">
        <f t="shared" si="5"/>
        <v>25700</v>
      </c>
      <c r="L20" s="41">
        <f t="shared" si="5"/>
        <v>25700</v>
      </c>
      <c r="M20" s="41">
        <f t="shared" si="5"/>
        <v>25700</v>
      </c>
      <c r="N20" s="41">
        <f t="shared" si="5"/>
        <v>25700</v>
      </c>
      <c r="O20" s="41">
        <f t="shared" si="5"/>
        <v>73700</v>
      </c>
      <c r="P20" s="41">
        <f t="shared" si="5"/>
        <v>65700</v>
      </c>
      <c r="Q20" s="41">
        <f t="shared" si="5"/>
        <v>396400</v>
      </c>
      <c r="S20" s="41">
        <f t="shared" si="6"/>
        <v>32200</v>
      </c>
      <c r="T20" s="41">
        <f t="shared" si="6"/>
        <v>32200</v>
      </c>
      <c r="U20" s="41">
        <f t="shared" si="6"/>
        <v>32200</v>
      </c>
      <c r="V20" s="41">
        <f t="shared" si="6"/>
        <v>32200</v>
      </c>
      <c r="W20" s="41">
        <f t="shared" si="6"/>
        <v>32200</v>
      </c>
      <c r="X20" s="41">
        <f t="shared" si="6"/>
        <v>52200</v>
      </c>
      <c r="Y20" s="41">
        <f t="shared" si="6"/>
        <v>32200</v>
      </c>
      <c r="Z20" s="41">
        <f t="shared" si="6"/>
        <v>32200</v>
      </c>
      <c r="AA20" s="41">
        <f t="shared" si="6"/>
        <v>32200</v>
      </c>
      <c r="AB20" s="41">
        <f t="shared" si="6"/>
        <v>32200</v>
      </c>
      <c r="AC20" s="41">
        <f t="shared" si="6"/>
        <v>32200</v>
      </c>
      <c r="AD20" s="41">
        <f t="shared" si="6"/>
        <v>52200</v>
      </c>
      <c r="AE20" s="41">
        <f t="shared" si="6"/>
        <v>426400</v>
      </c>
    </row>
    <row r="21" spans="1:31">
      <c r="C21" s="248">
        <v>4100</v>
      </c>
      <c r="D21" s="246" t="s">
        <v>54</v>
      </c>
      <c r="E21" s="41">
        <f t="shared" si="5"/>
        <v>0</v>
      </c>
      <c r="F21" s="41">
        <f t="shared" si="5"/>
        <v>0</v>
      </c>
      <c r="G21" s="41">
        <f t="shared" si="5"/>
        <v>0</v>
      </c>
      <c r="H21" s="41">
        <f t="shared" si="5"/>
        <v>0</v>
      </c>
      <c r="I21" s="41">
        <f t="shared" si="5"/>
        <v>0</v>
      </c>
      <c r="J21" s="41">
        <f t="shared" si="5"/>
        <v>0</v>
      </c>
      <c r="K21" s="41">
        <f t="shared" si="5"/>
        <v>0</v>
      </c>
      <c r="L21" s="41">
        <f t="shared" si="5"/>
        <v>0</v>
      </c>
      <c r="M21" s="41">
        <f t="shared" si="5"/>
        <v>0</v>
      </c>
      <c r="N21" s="41">
        <f t="shared" si="5"/>
        <v>0</v>
      </c>
      <c r="O21" s="41">
        <f t="shared" si="5"/>
        <v>0</v>
      </c>
      <c r="P21" s="41">
        <f t="shared" si="5"/>
        <v>0</v>
      </c>
      <c r="Q21" s="41">
        <f t="shared" si="5"/>
        <v>0</v>
      </c>
      <c r="S21" s="41">
        <f t="shared" si="6"/>
        <v>0</v>
      </c>
      <c r="T21" s="41">
        <f t="shared" si="6"/>
        <v>0</v>
      </c>
      <c r="U21" s="41">
        <f t="shared" si="6"/>
        <v>0</v>
      </c>
      <c r="V21" s="41">
        <f t="shared" si="6"/>
        <v>0</v>
      </c>
      <c r="W21" s="41">
        <f t="shared" si="6"/>
        <v>0</v>
      </c>
      <c r="X21" s="41">
        <f t="shared" si="6"/>
        <v>0</v>
      </c>
      <c r="Y21" s="41">
        <f t="shared" si="6"/>
        <v>0</v>
      </c>
      <c r="Z21" s="41">
        <f t="shared" si="6"/>
        <v>0</v>
      </c>
      <c r="AA21" s="41">
        <f t="shared" si="6"/>
        <v>0</v>
      </c>
      <c r="AB21" s="41">
        <f t="shared" si="6"/>
        <v>0</v>
      </c>
      <c r="AC21" s="41">
        <f t="shared" si="6"/>
        <v>0</v>
      </c>
      <c r="AD21" s="41">
        <f t="shared" si="6"/>
        <v>0</v>
      </c>
      <c r="AE21" s="41">
        <f t="shared" si="6"/>
        <v>0</v>
      </c>
    </row>
    <row r="22" spans="1:31">
      <c r="C22" s="248">
        <v>5100</v>
      </c>
      <c r="D22" s="246" t="s">
        <v>64</v>
      </c>
      <c r="E22" s="41">
        <f t="shared" si="5"/>
        <v>0</v>
      </c>
      <c r="F22" s="41">
        <f t="shared" si="5"/>
        <v>0</v>
      </c>
      <c r="G22" s="41">
        <f t="shared" si="5"/>
        <v>0</v>
      </c>
      <c r="H22" s="41">
        <f t="shared" si="5"/>
        <v>0</v>
      </c>
      <c r="I22" s="41">
        <f t="shared" si="5"/>
        <v>0</v>
      </c>
      <c r="J22" s="41">
        <f t="shared" si="5"/>
        <v>0</v>
      </c>
      <c r="K22" s="41">
        <f t="shared" si="5"/>
        <v>0</v>
      </c>
      <c r="L22" s="41">
        <f t="shared" si="5"/>
        <v>0</v>
      </c>
      <c r="M22" s="41">
        <f t="shared" si="5"/>
        <v>0</v>
      </c>
      <c r="N22" s="41">
        <f t="shared" si="5"/>
        <v>0</v>
      </c>
      <c r="O22" s="41">
        <f t="shared" si="5"/>
        <v>0</v>
      </c>
      <c r="P22" s="41">
        <f t="shared" si="5"/>
        <v>0</v>
      </c>
      <c r="Q22" s="41">
        <f t="shared" si="5"/>
        <v>0</v>
      </c>
      <c r="S22" s="41">
        <f t="shared" si="6"/>
        <v>0</v>
      </c>
      <c r="T22" s="41">
        <f t="shared" si="6"/>
        <v>0</v>
      </c>
      <c r="U22" s="41">
        <f t="shared" si="6"/>
        <v>0</v>
      </c>
      <c r="V22" s="41">
        <f t="shared" si="6"/>
        <v>0</v>
      </c>
      <c r="W22" s="41">
        <f t="shared" si="6"/>
        <v>0</v>
      </c>
      <c r="X22" s="41">
        <f t="shared" si="6"/>
        <v>0</v>
      </c>
      <c r="Y22" s="41">
        <f t="shared" si="6"/>
        <v>0</v>
      </c>
      <c r="Z22" s="41">
        <f t="shared" si="6"/>
        <v>0</v>
      </c>
      <c r="AA22" s="41">
        <f t="shared" si="6"/>
        <v>0</v>
      </c>
      <c r="AB22" s="41">
        <f t="shared" si="6"/>
        <v>0</v>
      </c>
      <c r="AC22" s="41">
        <f t="shared" si="6"/>
        <v>0</v>
      </c>
      <c r="AD22" s="41">
        <f t="shared" si="6"/>
        <v>0</v>
      </c>
      <c r="AE22" s="41">
        <f t="shared" si="6"/>
        <v>0</v>
      </c>
    </row>
    <row r="23" spans="1:31">
      <c r="C23" s="248">
        <v>6100</v>
      </c>
      <c r="D23" s="246" t="s">
        <v>65</v>
      </c>
      <c r="E23" s="41">
        <f t="shared" si="5"/>
        <v>0</v>
      </c>
      <c r="F23" s="41">
        <f t="shared" si="5"/>
        <v>0</v>
      </c>
      <c r="G23" s="41">
        <f t="shared" si="5"/>
        <v>0</v>
      </c>
      <c r="H23" s="41">
        <f t="shared" si="5"/>
        <v>0</v>
      </c>
      <c r="I23" s="41">
        <f t="shared" si="5"/>
        <v>0</v>
      </c>
      <c r="J23" s="41">
        <f t="shared" si="5"/>
        <v>0</v>
      </c>
      <c r="K23" s="41">
        <f t="shared" si="5"/>
        <v>0</v>
      </c>
      <c r="L23" s="41">
        <f t="shared" si="5"/>
        <v>0</v>
      </c>
      <c r="M23" s="41">
        <f t="shared" si="5"/>
        <v>0</v>
      </c>
      <c r="N23" s="41">
        <f t="shared" si="5"/>
        <v>0</v>
      </c>
      <c r="O23" s="41">
        <f t="shared" si="5"/>
        <v>0</v>
      </c>
      <c r="P23" s="41">
        <f t="shared" si="5"/>
        <v>0</v>
      </c>
      <c r="Q23" s="41">
        <f t="shared" si="5"/>
        <v>0</v>
      </c>
      <c r="S23" s="41">
        <f t="shared" si="6"/>
        <v>0</v>
      </c>
      <c r="T23" s="41">
        <f t="shared" si="6"/>
        <v>0</v>
      </c>
      <c r="U23" s="41">
        <f t="shared" si="6"/>
        <v>0</v>
      </c>
      <c r="V23" s="41">
        <f t="shared" si="6"/>
        <v>0</v>
      </c>
      <c r="W23" s="41">
        <f t="shared" si="6"/>
        <v>0</v>
      </c>
      <c r="X23" s="41">
        <f t="shared" si="6"/>
        <v>0</v>
      </c>
      <c r="Y23" s="41">
        <f t="shared" si="6"/>
        <v>0</v>
      </c>
      <c r="Z23" s="41">
        <f t="shared" si="6"/>
        <v>0</v>
      </c>
      <c r="AA23" s="41">
        <f t="shared" si="6"/>
        <v>0</v>
      </c>
      <c r="AB23" s="41">
        <f t="shared" si="6"/>
        <v>0</v>
      </c>
      <c r="AC23" s="41">
        <f t="shared" si="6"/>
        <v>0</v>
      </c>
      <c r="AD23" s="41">
        <f t="shared" si="6"/>
        <v>0</v>
      </c>
      <c r="AE23" s="41">
        <f t="shared" si="6"/>
        <v>0</v>
      </c>
    </row>
    <row r="24" spans="1:31">
      <c r="C24" s="248">
        <v>6800</v>
      </c>
      <c r="D24" s="246" t="s">
        <v>135</v>
      </c>
      <c r="E24" s="41">
        <f t="shared" si="5"/>
        <v>0</v>
      </c>
      <c r="F24" s="41">
        <f t="shared" si="5"/>
        <v>0</v>
      </c>
      <c r="G24" s="41">
        <f t="shared" si="5"/>
        <v>0</v>
      </c>
      <c r="H24" s="41">
        <f t="shared" si="5"/>
        <v>0</v>
      </c>
      <c r="I24" s="41">
        <f t="shared" si="5"/>
        <v>0</v>
      </c>
      <c r="J24" s="41">
        <f t="shared" si="5"/>
        <v>0</v>
      </c>
      <c r="K24" s="41">
        <f t="shared" si="5"/>
        <v>0</v>
      </c>
      <c r="L24" s="41">
        <f t="shared" si="5"/>
        <v>0</v>
      </c>
      <c r="M24" s="41">
        <f t="shared" si="5"/>
        <v>0</v>
      </c>
      <c r="N24" s="41">
        <f t="shared" si="5"/>
        <v>0</v>
      </c>
      <c r="O24" s="41">
        <f t="shared" si="5"/>
        <v>0</v>
      </c>
      <c r="P24" s="41">
        <f t="shared" si="5"/>
        <v>0</v>
      </c>
      <c r="Q24" s="41">
        <f t="shared" si="5"/>
        <v>0</v>
      </c>
      <c r="S24" s="41">
        <f t="shared" si="6"/>
        <v>0</v>
      </c>
      <c r="T24" s="41">
        <f t="shared" si="6"/>
        <v>0</v>
      </c>
      <c r="U24" s="41">
        <f t="shared" si="6"/>
        <v>0</v>
      </c>
      <c r="V24" s="41">
        <f t="shared" si="6"/>
        <v>0</v>
      </c>
      <c r="W24" s="41">
        <f t="shared" si="6"/>
        <v>0</v>
      </c>
      <c r="X24" s="41">
        <f t="shared" si="6"/>
        <v>0</v>
      </c>
      <c r="Y24" s="41">
        <f t="shared" si="6"/>
        <v>0</v>
      </c>
      <c r="Z24" s="41">
        <f t="shared" si="6"/>
        <v>0</v>
      </c>
      <c r="AA24" s="41">
        <f t="shared" si="6"/>
        <v>0</v>
      </c>
      <c r="AB24" s="41">
        <f t="shared" si="6"/>
        <v>0</v>
      </c>
      <c r="AC24" s="41">
        <f t="shared" si="6"/>
        <v>0</v>
      </c>
      <c r="AD24" s="41">
        <f t="shared" si="6"/>
        <v>0</v>
      </c>
      <c r="AE24" s="41">
        <f t="shared" si="6"/>
        <v>0</v>
      </c>
    </row>
    <row r="25" spans="1:31">
      <c r="C25" s="248">
        <v>7200</v>
      </c>
      <c r="D25" s="246" t="s">
        <v>209</v>
      </c>
      <c r="E25" s="41">
        <f t="shared" si="5"/>
        <v>0</v>
      </c>
      <c r="F25" s="41">
        <f t="shared" si="5"/>
        <v>0</v>
      </c>
      <c r="G25" s="41">
        <f t="shared" si="5"/>
        <v>0</v>
      </c>
      <c r="H25" s="41">
        <f t="shared" si="5"/>
        <v>0</v>
      </c>
      <c r="I25" s="41">
        <f t="shared" si="5"/>
        <v>0</v>
      </c>
      <c r="J25" s="41">
        <f t="shared" si="5"/>
        <v>0</v>
      </c>
      <c r="K25" s="41">
        <f t="shared" si="5"/>
        <v>0</v>
      </c>
      <c r="L25" s="41">
        <f t="shared" si="5"/>
        <v>0</v>
      </c>
      <c r="M25" s="41">
        <f t="shared" si="5"/>
        <v>0</v>
      </c>
      <c r="N25" s="41">
        <f t="shared" si="5"/>
        <v>0</v>
      </c>
      <c r="O25" s="41">
        <f t="shared" si="5"/>
        <v>0</v>
      </c>
      <c r="P25" s="41">
        <f t="shared" si="5"/>
        <v>0</v>
      </c>
      <c r="Q25" s="41">
        <f t="shared" si="5"/>
        <v>0</v>
      </c>
      <c r="S25" s="41">
        <f t="shared" si="6"/>
        <v>0</v>
      </c>
      <c r="T25" s="41">
        <f t="shared" si="6"/>
        <v>0</v>
      </c>
      <c r="U25" s="41">
        <f t="shared" si="6"/>
        <v>0</v>
      </c>
      <c r="V25" s="41">
        <f t="shared" si="6"/>
        <v>0</v>
      </c>
      <c r="W25" s="41">
        <f t="shared" si="6"/>
        <v>0</v>
      </c>
      <c r="X25" s="41">
        <f t="shared" si="6"/>
        <v>0</v>
      </c>
      <c r="Y25" s="41">
        <f t="shared" si="6"/>
        <v>0</v>
      </c>
      <c r="Z25" s="41">
        <f t="shared" si="6"/>
        <v>0</v>
      </c>
      <c r="AA25" s="41">
        <f t="shared" si="6"/>
        <v>0</v>
      </c>
      <c r="AB25" s="41">
        <f t="shared" si="6"/>
        <v>0</v>
      </c>
      <c r="AC25" s="41">
        <f t="shared" si="6"/>
        <v>0</v>
      </c>
      <c r="AD25" s="41">
        <f t="shared" si="6"/>
        <v>0</v>
      </c>
      <c r="AE25" s="41">
        <f t="shared" si="6"/>
        <v>0</v>
      </c>
    </row>
    <row r="26" spans="1:31">
      <c r="C26" s="248">
        <v>7300</v>
      </c>
      <c r="D26" s="246" t="s">
        <v>70</v>
      </c>
      <c r="E26" s="41">
        <f t="shared" si="5"/>
        <v>0</v>
      </c>
      <c r="F26" s="41">
        <f t="shared" si="5"/>
        <v>0</v>
      </c>
      <c r="G26" s="41">
        <f t="shared" si="5"/>
        <v>0</v>
      </c>
      <c r="H26" s="41">
        <f t="shared" si="5"/>
        <v>0</v>
      </c>
      <c r="I26" s="41">
        <f t="shared" si="5"/>
        <v>0</v>
      </c>
      <c r="J26" s="41">
        <f t="shared" si="5"/>
        <v>0</v>
      </c>
      <c r="K26" s="41">
        <f t="shared" si="5"/>
        <v>0</v>
      </c>
      <c r="L26" s="41">
        <f t="shared" si="5"/>
        <v>0</v>
      </c>
      <c r="M26" s="41">
        <f t="shared" si="5"/>
        <v>0</v>
      </c>
      <c r="N26" s="41">
        <f t="shared" si="5"/>
        <v>0</v>
      </c>
      <c r="O26" s="41">
        <f t="shared" si="5"/>
        <v>0</v>
      </c>
      <c r="P26" s="41">
        <f t="shared" si="5"/>
        <v>0</v>
      </c>
      <c r="Q26" s="41">
        <f t="shared" si="5"/>
        <v>0</v>
      </c>
      <c r="S26" s="41">
        <f t="shared" si="6"/>
        <v>0</v>
      </c>
      <c r="T26" s="41">
        <f t="shared" si="6"/>
        <v>0</v>
      </c>
      <c r="U26" s="41">
        <f t="shared" si="6"/>
        <v>0</v>
      </c>
      <c r="V26" s="41">
        <f t="shared" si="6"/>
        <v>0</v>
      </c>
      <c r="W26" s="41">
        <f t="shared" si="6"/>
        <v>0</v>
      </c>
      <c r="X26" s="41">
        <f t="shared" si="6"/>
        <v>0</v>
      </c>
      <c r="Y26" s="41">
        <f t="shared" si="6"/>
        <v>0</v>
      </c>
      <c r="Z26" s="41">
        <f t="shared" si="6"/>
        <v>0</v>
      </c>
      <c r="AA26" s="41">
        <f t="shared" si="6"/>
        <v>0</v>
      </c>
      <c r="AB26" s="41">
        <f t="shared" si="6"/>
        <v>0</v>
      </c>
      <c r="AC26" s="41">
        <f t="shared" si="6"/>
        <v>0</v>
      </c>
      <c r="AD26" s="41">
        <f t="shared" si="6"/>
        <v>0</v>
      </c>
      <c r="AE26" s="41">
        <f t="shared" si="6"/>
        <v>0</v>
      </c>
    </row>
    <row r="27" spans="1:31">
      <c r="C27" s="248">
        <v>8200</v>
      </c>
      <c r="D27" s="246" t="s">
        <v>72</v>
      </c>
      <c r="E27" s="41">
        <f t="shared" si="5"/>
        <v>0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41">
        <f t="shared" si="5"/>
        <v>0</v>
      </c>
      <c r="Q27" s="41">
        <f t="shared" si="5"/>
        <v>0</v>
      </c>
      <c r="S27" s="41">
        <f t="shared" si="6"/>
        <v>0</v>
      </c>
      <c r="T27" s="41">
        <f t="shared" si="6"/>
        <v>0</v>
      </c>
      <c r="U27" s="41">
        <f t="shared" si="6"/>
        <v>0</v>
      </c>
      <c r="V27" s="41">
        <f t="shared" si="6"/>
        <v>0</v>
      </c>
      <c r="W27" s="41">
        <f t="shared" si="6"/>
        <v>0</v>
      </c>
      <c r="X27" s="41">
        <f t="shared" si="6"/>
        <v>0</v>
      </c>
      <c r="Y27" s="41">
        <f t="shared" si="6"/>
        <v>0</v>
      </c>
      <c r="Z27" s="41">
        <f t="shared" si="6"/>
        <v>0</v>
      </c>
      <c r="AA27" s="41">
        <f t="shared" si="6"/>
        <v>0</v>
      </c>
      <c r="AB27" s="41">
        <f t="shared" si="6"/>
        <v>0</v>
      </c>
      <c r="AC27" s="41">
        <f t="shared" si="6"/>
        <v>0</v>
      </c>
      <c r="AD27" s="41">
        <f t="shared" si="6"/>
        <v>0</v>
      </c>
      <c r="AE27" s="41">
        <f t="shared" si="6"/>
        <v>0</v>
      </c>
    </row>
    <row r="28" spans="1:31">
      <c r="C28" s="248">
        <v>8300</v>
      </c>
      <c r="D28" s="246" t="s">
        <v>73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1">
        <f t="shared" si="5"/>
        <v>0</v>
      </c>
      <c r="S28" s="41">
        <f t="shared" si="6"/>
        <v>0</v>
      </c>
      <c r="T28" s="41">
        <f t="shared" si="6"/>
        <v>0</v>
      </c>
      <c r="U28" s="41">
        <f t="shared" si="6"/>
        <v>0</v>
      </c>
      <c r="V28" s="41">
        <f t="shared" si="6"/>
        <v>0</v>
      </c>
      <c r="W28" s="41">
        <f t="shared" si="6"/>
        <v>0</v>
      </c>
      <c r="X28" s="41">
        <f t="shared" si="6"/>
        <v>0</v>
      </c>
      <c r="Y28" s="41">
        <f t="shared" si="6"/>
        <v>0</v>
      </c>
      <c r="Z28" s="41">
        <f t="shared" si="6"/>
        <v>0</v>
      </c>
      <c r="AA28" s="41">
        <f t="shared" si="6"/>
        <v>0</v>
      </c>
      <c r="AB28" s="41">
        <f t="shared" si="6"/>
        <v>0</v>
      </c>
      <c r="AC28" s="41">
        <f t="shared" si="6"/>
        <v>0</v>
      </c>
      <c r="AD28" s="41">
        <f t="shared" si="6"/>
        <v>0</v>
      </c>
      <c r="AE28" s="41">
        <f t="shared" si="6"/>
        <v>0</v>
      </c>
    </row>
    <row r="29" spans="1:31" s="127" customFormat="1">
      <c r="A29" s="242"/>
      <c r="B29" s="242"/>
      <c r="C29" s="242"/>
      <c r="D29" s="252" t="s">
        <v>178</v>
      </c>
      <c r="E29" s="244">
        <f t="shared" ref="E29:Q29" si="7">SUM(E17:E28)</f>
        <v>25700</v>
      </c>
      <c r="F29" s="244">
        <f t="shared" si="7"/>
        <v>25700</v>
      </c>
      <c r="G29" s="244">
        <f t="shared" si="7"/>
        <v>25700</v>
      </c>
      <c r="H29" s="244">
        <f t="shared" si="7"/>
        <v>25700</v>
      </c>
      <c r="I29" s="244">
        <f t="shared" si="7"/>
        <v>25700</v>
      </c>
      <c r="J29" s="244">
        <f t="shared" si="7"/>
        <v>25700</v>
      </c>
      <c r="K29" s="244">
        <f t="shared" si="7"/>
        <v>25700</v>
      </c>
      <c r="L29" s="244">
        <f t="shared" si="7"/>
        <v>25700</v>
      </c>
      <c r="M29" s="244">
        <f t="shared" si="7"/>
        <v>25700</v>
      </c>
      <c r="N29" s="244">
        <f t="shared" si="7"/>
        <v>25700</v>
      </c>
      <c r="O29" s="244">
        <f t="shared" si="7"/>
        <v>105700</v>
      </c>
      <c r="P29" s="244">
        <f t="shared" si="7"/>
        <v>65700</v>
      </c>
      <c r="Q29" s="244">
        <f t="shared" si="7"/>
        <v>428400</v>
      </c>
      <c r="S29" s="244">
        <f t="shared" ref="S29:AE29" si="8">SUM(S17:S28)</f>
        <v>35200</v>
      </c>
      <c r="T29" s="244">
        <f t="shared" si="8"/>
        <v>35200</v>
      </c>
      <c r="U29" s="244">
        <f t="shared" si="8"/>
        <v>35200</v>
      </c>
      <c r="V29" s="244">
        <f t="shared" si="8"/>
        <v>35200</v>
      </c>
      <c r="W29" s="244">
        <f t="shared" si="8"/>
        <v>35200</v>
      </c>
      <c r="X29" s="244">
        <f t="shared" si="8"/>
        <v>55200</v>
      </c>
      <c r="Y29" s="244">
        <f t="shared" si="8"/>
        <v>35200</v>
      </c>
      <c r="Z29" s="244">
        <f t="shared" si="8"/>
        <v>35200</v>
      </c>
      <c r="AA29" s="244">
        <f t="shared" si="8"/>
        <v>35200</v>
      </c>
      <c r="AB29" s="244">
        <f t="shared" si="8"/>
        <v>35200</v>
      </c>
      <c r="AC29" s="244">
        <f t="shared" si="8"/>
        <v>35200</v>
      </c>
      <c r="AD29" s="244">
        <f t="shared" si="8"/>
        <v>55200</v>
      </c>
      <c r="AE29" s="244">
        <f t="shared" si="8"/>
        <v>462400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E30"/>
  <sheetViews>
    <sheetView showGridLines="0" workbookViewId="0">
      <pane xSplit="4" ySplit="1" topLeftCell="N2" activePane="bottomRight" state="frozen"/>
      <selection activeCell="D23" sqref="D23"/>
      <selection pane="topRight" activeCell="D23" sqref="D23"/>
      <selection pane="bottomLeft" activeCell="D23" sqref="D23"/>
      <selection pane="bottomRight" activeCell="S5" sqref="S5"/>
    </sheetView>
  </sheetViews>
  <sheetFormatPr defaultColWidth="10.85546875" defaultRowHeight="15.75" outlineLevelRow="1" outlineLevelCol="1"/>
  <cols>
    <col min="1" max="1" width="15.28515625" style="241" customWidth="1" outlineLevel="1"/>
    <col min="2" max="2" width="49.42578125" style="241" customWidth="1" outlineLevel="1"/>
    <col min="3" max="3" width="12.28515625" style="241" customWidth="1"/>
    <col min="4" max="4" width="22.140625" style="254" bestFit="1" customWidth="1"/>
    <col min="5" max="5" width="10.140625" style="1" hidden="1" customWidth="1" outlineLevel="1"/>
    <col min="6" max="16" width="11.42578125" style="1" hidden="1" customWidth="1" outlineLevel="1"/>
    <col min="17" max="17" width="13.7109375" style="1" bestFit="1" customWidth="1" collapsed="1"/>
    <col min="18" max="18" width="2.42578125" style="1" customWidth="1"/>
    <col min="19" max="23" width="11.42578125" style="1" customWidth="1" outlineLevel="1"/>
    <col min="24" max="24" width="12" style="1" customWidth="1" outlineLevel="1"/>
    <col min="25" max="30" width="11.42578125" style="1" customWidth="1" outlineLevel="1"/>
    <col min="31" max="31" width="14.42578125" style="1" customWidth="1"/>
    <col min="32" max="16384" width="10.85546875" style="1"/>
  </cols>
  <sheetData>
    <row r="1" spans="1:31" outlineLevel="1">
      <c r="D1" s="250"/>
      <c r="E1" s="114">
        <v>42736</v>
      </c>
      <c r="F1" s="114">
        <v>42767</v>
      </c>
      <c r="G1" s="114">
        <v>42795</v>
      </c>
      <c r="H1" s="114">
        <v>42826</v>
      </c>
      <c r="I1" s="114">
        <v>42856</v>
      </c>
      <c r="J1" s="114">
        <v>42887</v>
      </c>
      <c r="K1" s="114">
        <v>42917</v>
      </c>
      <c r="L1" s="114">
        <v>42948</v>
      </c>
      <c r="M1" s="114">
        <v>42979</v>
      </c>
      <c r="N1" s="91">
        <v>43009</v>
      </c>
      <c r="O1" s="91">
        <v>43040</v>
      </c>
      <c r="P1" s="91">
        <v>43070</v>
      </c>
      <c r="Q1" s="112">
        <v>2017</v>
      </c>
      <c r="R1" s="87"/>
      <c r="S1" s="89">
        <v>43101</v>
      </c>
      <c r="T1" s="89">
        <v>43132</v>
      </c>
      <c r="U1" s="89">
        <v>43160</v>
      </c>
      <c r="V1" s="89">
        <v>43191</v>
      </c>
      <c r="W1" s="89">
        <v>43221</v>
      </c>
      <c r="X1" s="89">
        <v>43252</v>
      </c>
      <c r="Y1" s="89">
        <v>43282</v>
      </c>
      <c r="Z1" s="89">
        <v>43313</v>
      </c>
      <c r="AA1" s="89">
        <v>43344</v>
      </c>
      <c r="AB1" s="89">
        <v>43374</v>
      </c>
      <c r="AC1" s="89">
        <v>43405</v>
      </c>
      <c r="AD1" s="89">
        <v>43435</v>
      </c>
      <c r="AE1" s="400">
        <v>2018</v>
      </c>
    </row>
    <row r="2" spans="1:31" outlineLevel="1">
      <c r="A2" s="242" t="s">
        <v>254</v>
      </c>
      <c r="C2" s="241" t="s">
        <v>162</v>
      </c>
      <c r="D2" s="250"/>
      <c r="E2" s="115" t="s">
        <v>130</v>
      </c>
      <c r="F2" s="115" t="s">
        <v>130</v>
      </c>
      <c r="G2" s="115" t="s">
        <v>130</v>
      </c>
      <c r="H2" s="115" t="s">
        <v>130</v>
      </c>
      <c r="I2" s="115" t="s">
        <v>130</v>
      </c>
      <c r="J2" s="115" t="s">
        <v>130</v>
      </c>
      <c r="K2" s="115" t="s">
        <v>130</v>
      </c>
      <c r="L2" s="115" t="s">
        <v>130</v>
      </c>
      <c r="M2" s="115" t="s">
        <v>130</v>
      </c>
      <c r="N2" s="94" t="s">
        <v>130</v>
      </c>
      <c r="O2" s="94" t="s">
        <v>130</v>
      </c>
      <c r="P2" s="94" t="s">
        <v>130</v>
      </c>
      <c r="Q2" s="94" t="s">
        <v>0</v>
      </c>
      <c r="R2" s="87"/>
      <c r="S2" s="93" t="s">
        <v>130</v>
      </c>
      <c r="T2" s="93" t="s">
        <v>130</v>
      </c>
      <c r="U2" s="93" t="s">
        <v>130</v>
      </c>
      <c r="V2" s="93" t="s">
        <v>130</v>
      </c>
      <c r="W2" s="93" t="s">
        <v>130</v>
      </c>
      <c r="X2" s="93" t="s">
        <v>130</v>
      </c>
      <c r="Y2" s="93" t="s">
        <v>130</v>
      </c>
      <c r="Z2" s="93" t="s">
        <v>130</v>
      </c>
      <c r="AA2" s="93" t="s">
        <v>130</v>
      </c>
      <c r="AB2" s="93" t="s">
        <v>130</v>
      </c>
      <c r="AC2" s="93" t="s">
        <v>130</v>
      </c>
      <c r="AD2" s="93" t="s">
        <v>130</v>
      </c>
      <c r="AE2" s="401" t="s">
        <v>0</v>
      </c>
    </row>
    <row r="3" spans="1:31" ht="45.75" outlineLevel="1">
      <c r="A3" s="243" t="s">
        <v>239</v>
      </c>
      <c r="B3" s="243" t="s">
        <v>240</v>
      </c>
      <c r="C3" s="243" t="s">
        <v>218</v>
      </c>
      <c r="D3" s="251" t="s">
        <v>220</v>
      </c>
      <c r="E3" s="116" t="s">
        <v>79</v>
      </c>
      <c r="F3" s="116" t="s">
        <v>79</v>
      </c>
      <c r="G3" s="116" t="s">
        <v>79</v>
      </c>
      <c r="H3" s="116" t="s">
        <v>79</v>
      </c>
      <c r="I3" s="116" t="s">
        <v>79</v>
      </c>
      <c r="J3" s="116" t="s">
        <v>79</v>
      </c>
      <c r="K3" s="116" t="s">
        <v>79</v>
      </c>
      <c r="L3" s="116" t="s">
        <v>79</v>
      </c>
      <c r="M3" s="116" t="s">
        <v>79</v>
      </c>
      <c r="N3" s="95" t="s">
        <v>131</v>
      </c>
      <c r="O3" s="95" t="s">
        <v>131</v>
      </c>
      <c r="P3" s="95" t="s">
        <v>131</v>
      </c>
      <c r="Q3" s="95" t="s">
        <v>131</v>
      </c>
      <c r="R3" s="87"/>
      <c r="S3" s="38" t="s">
        <v>132</v>
      </c>
      <c r="T3" s="38" t="s">
        <v>132</v>
      </c>
      <c r="U3" s="38" t="s">
        <v>132</v>
      </c>
      <c r="V3" s="38" t="s">
        <v>132</v>
      </c>
      <c r="W3" s="38" t="s">
        <v>132</v>
      </c>
      <c r="X3" s="38" t="s">
        <v>132</v>
      </c>
      <c r="Y3" s="38" t="s">
        <v>132</v>
      </c>
      <c r="Z3" s="38" t="s">
        <v>132</v>
      </c>
      <c r="AA3" s="38" t="s">
        <v>132</v>
      </c>
      <c r="AB3" s="38" t="s">
        <v>132</v>
      </c>
      <c r="AC3" s="38" t="s">
        <v>132</v>
      </c>
      <c r="AD3" s="38" t="s">
        <v>132</v>
      </c>
      <c r="AE3" s="402" t="s">
        <v>133</v>
      </c>
    </row>
    <row r="4" spans="1:31" outlineLevel="1">
      <c r="A4" s="245"/>
      <c r="B4" s="246" t="s">
        <v>246</v>
      </c>
      <c r="C4" s="248">
        <v>3100</v>
      </c>
      <c r="D4" s="246" t="s">
        <v>63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96"/>
      <c r="S4" s="41">
        <v>16550</v>
      </c>
      <c r="T4" s="41">
        <v>16550</v>
      </c>
      <c r="U4" s="41">
        <v>16550</v>
      </c>
      <c r="V4" s="41">
        <v>16550</v>
      </c>
      <c r="W4" s="41">
        <v>16550</v>
      </c>
      <c r="X4" s="41">
        <v>16550</v>
      </c>
      <c r="Y4" s="41">
        <v>16550</v>
      </c>
      <c r="Z4" s="41">
        <v>16550</v>
      </c>
      <c r="AA4" s="41">
        <v>16550</v>
      </c>
      <c r="AB4" s="41">
        <v>16550</v>
      </c>
      <c r="AC4" s="41">
        <v>16550</v>
      </c>
      <c r="AD4" s="41">
        <v>16550</v>
      </c>
      <c r="AE4" s="318">
        <f t="shared" ref="AE4:AE13" si="0">SUM(S4:AD4)</f>
        <v>198600</v>
      </c>
    </row>
    <row r="5" spans="1:31" outlineLevel="1">
      <c r="A5" s="245"/>
      <c r="B5" s="246" t="s">
        <v>255</v>
      </c>
      <c r="C5" s="248">
        <v>3100</v>
      </c>
      <c r="D5" s="246" t="s">
        <v>63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96"/>
      <c r="S5" s="41">
        <f t="array" ref="S5:AD5">150000/12</f>
        <v>12500</v>
      </c>
      <c r="T5" s="41">
        <v>12500</v>
      </c>
      <c r="U5" s="41">
        <v>12500</v>
      </c>
      <c r="V5" s="41">
        <v>12500</v>
      </c>
      <c r="W5" s="41">
        <v>12500</v>
      </c>
      <c r="X5" s="41">
        <v>12500</v>
      </c>
      <c r="Y5" s="41">
        <v>12500</v>
      </c>
      <c r="Z5" s="41">
        <v>12500</v>
      </c>
      <c r="AA5" s="41">
        <v>12500</v>
      </c>
      <c r="AB5" s="41">
        <v>12500</v>
      </c>
      <c r="AC5" s="41">
        <v>12500</v>
      </c>
      <c r="AD5" s="41">
        <v>12500</v>
      </c>
      <c r="AE5" s="318">
        <f t="shared" si="0"/>
        <v>150000</v>
      </c>
    </row>
    <row r="6" spans="1:31" outlineLevel="1">
      <c r="A6" s="245"/>
      <c r="B6" s="351" t="s">
        <v>463</v>
      </c>
      <c r="C6" s="248">
        <v>3100</v>
      </c>
      <c r="D6" s="351" t="s">
        <v>63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96"/>
      <c r="S6" s="41">
        <f>21276/12</f>
        <v>1773</v>
      </c>
      <c r="T6" s="41">
        <f t="shared" ref="T6:AD6" si="1">21276/12</f>
        <v>1773</v>
      </c>
      <c r="U6" s="41">
        <f t="shared" si="1"/>
        <v>1773</v>
      </c>
      <c r="V6" s="41">
        <f t="shared" si="1"/>
        <v>1773</v>
      </c>
      <c r="W6" s="41">
        <f t="shared" si="1"/>
        <v>1773</v>
      </c>
      <c r="X6" s="41">
        <f t="shared" si="1"/>
        <v>1773</v>
      </c>
      <c r="Y6" s="41">
        <f t="shared" si="1"/>
        <v>1773</v>
      </c>
      <c r="Z6" s="41">
        <f t="shared" si="1"/>
        <v>1773</v>
      </c>
      <c r="AA6" s="41">
        <f t="shared" si="1"/>
        <v>1773</v>
      </c>
      <c r="AB6" s="41">
        <f t="shared" si="1"/>
        <v>1773</v>
      </c>
      <c r="AC6" s="41">
        <f t="shared" si="1"/>
        <v>1773</v>
      </c>
      <c r="AD6" s="41">
        <f t="shared" si="1"/>
        <v>1773</v>
      </c>
      <c r="AE6" s="318">
        <f t="shared" si="0"/>
        <v>21276</v>
      </c>
    </row>
    <row r="7" spans="1:31" outlineLevel="1">
      <c r="A7" s="245"/>
      <c r="B7" s="351" t="s">
        <v>564</v>
      </c>
      <c r="C7" s="248">
        <v>3100</v>
      </c>
      <c r="D7" s="351" t="s">
        <v>63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96"/>
      <c r="S7" s="41">
        <v>860</v>
      </c>
      <c r="T7" s="41">
        <v>860</v>
      </c>
      <c r="U7" s="41">
        <v>860</v>
      </c>
      <c r="V7" s="41">
        <v>860</v>
      </c>
      <c r="W7" s="41">
        <v>860</v>
      </c>
      <c r="X7" s="41">
        <v>860</v>
      </c>
      <c r="Y7" s="41">
        <v>860</v>
      </c>
      <c r="Z7" s="41">
        <v>860</v>
      </c>
      <c r="AA7" s="41">
        <v>860</v>
      </c>
      <c r="AB7" s="41">
        <v>860</v>
      </c>
      <c r="AC7" s="41">
        <v>860</v>
      </c>
      <c r="AD7" s="41">
        <v>860</v>
      </c>
      <c r="AE7" s="318">
        <f t="shared" si="0"/>
        <v>10320</v>
      </c>
    </row>
    <row r="8" spans="1:31" outlineLevel="1">
      <c r="A8" s="245"/>
      <c r="B8" s="399" t="s">
        <v>414</v>
      </c>
      <c r="C8" s="248">
        <v>3100</v>
      </c>
      <c r="D8" s="351" t="s">
        <v>63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96"/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30000</v>
      </c>
      <c r="Y8" s="41">
        <v>30000</v>
      </c>
      <c r="Z8" s="41">
        <v>30000</v>
      </c>
      <c r="AA8" s="41">
        <v>30000</v>
      </c>
      <c r="AB8" s="41">
        <v>30000</v>
      </c>
      <c r="AC8" s="41">
        <v>30000</v>
      </c>
      <c r="AD8" s="41">
        <v>30000</v>
      </c>
      <c r="AE8" s="318">
        <f t="shared" ref="AE8" si="2">SUM(S8:AD8)</f>
        <v>210000</v>
      </c>
    </row>
    <row r="9" spans="1:31" outlineLevel="1">
      <c r="A9" s="245"/>
      <c r="B9" s="352" t="s">
        <v>409</v>
      </c>
      <c r="C9" s="248">
        <v>3100</v>
      </c>
      <c r="D9" s="351" t="s">
        <v>63</v>
      </c>
      <c r="E9" s="41"/>
      <c r="F9" s="41"/>
      <c r="G9" s="41"/>
      <c r="H9" s="41"/>
      <c r="I9" s="41"/>
      <c r="J9" s="41"/>
      <c r="K9" s="41"/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96"/>
      <c r="S9" s="41">
        <v>1100</v>
      </c>
      <c r="T9" s="41">
        <v>1100</v>
      </c>
      <c r="U9" s="41">
        <v>1100</v>
      </c>
      <c r="V9" s="41">
        <v>1100</v>
      </c>
      <c r="W9" s="41">
        <v>1100</v>
      </c>
      <c r="X9" s="41">
        <v>1100</v>
      </c>
      <c r="Y9" s="41">
        <v>1100</v>
      </c>
      <c r="Z9" s="41">
        <v>1100</v>
      </c>
      <c r="AA9" s="41">
        <v>1100</v>
      </c>
      <c r="AB9" s="41">
        <v>1100</v>
      </c>
      <c r="AC9" s="41">
        <v>1100</v>
      </c>
      <c r="AD9" s="41">
        <v>1100</v>
      </c>
      <c r="AE9" s="318">
        <f t="shared" si="0"/>
        <v>13200</v>
      </c>
    </row>
    <row r="10" spans="1:31" outlineLevel="1">
      <c r="A10" s="245"/>
      <c r="B10" s="351" t="s">
        <v>262</v>
      </c>
      <c r="C10" s="248">
        <v>3100</v>
      </c>
      <c r="D10" s="351" t="s">
        <v>63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3500</v>
      </c>
      <c r="P10" s="41">
        <v>0</v>
      </c>
      <c r="Q10" s="41">
        <f t="shared" ref="Q10:Q13" si="3">SUM(E10:P10)</f>
        <v>3500</v>
      </c>
      <c r="R10" s="96"/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318">
        <f t="shared" si="0"/>
        <v>0</v>
      </c>
    </row>
    <row r="11" spans="1:31" outlineLevel="1">
      <c r="A11" s="245"/>
      <c r="B11" s="351" t="s">
        <v>263</v>
      </c>
      <c r="C11" s="248">
        <v>4100</v>
      </c>
      <c r="D11" s="351" t="s">
        <v>54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f t="shared" si="3"/>
        <v>0</v>
      </c>
      <c r="R11" s="96"/>
      <c r="S11" s="41">
        <v>25000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318">
        <f t="shared" si="0"/>
        <v>25000</v>
      </c>
    </row>
    <row r="12" spans="1:31" outlineLevel="1">
      <c r="A12" s="245"/>
      <c r="B12" s="351" t="s">
        <v>264</v>
      </c>
      <c r="C12" s="248">
        <v>5100</v>
      </c>
      <c r="D12" s="351" t="s">
        <v>64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10000</v>
      </c>
      <c r="Q12" s="41">
        <f t="shared" si="3"/>
        <v>10000</v>
      </c>
      <c r="R12" s="96"/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318">
        <f t="shared" si="0"/>
        <v>0</v>
      </c>
    </row>
    <row r="13" spans="1:31" outlineLevel="1">
      <c r="A13" s="245"/>
      <c r="B13" s="351" t="s">
        <v>391</v>
      </c>
      <c r="C13" s="248">
        <v>5100</v>
      </c>
      <c r="D13" s="351" t="s">
        <v>64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f t="shared" si="3"/>
        <v>0</v>
      </c>
      <c r="R13" s="96"/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5000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318">
        <f t="shared" si="0"/>
        <v>5000</v>
      </c>
    </row>
    <row r="14" spans="1:31" s="127" customFormat="1" outlineLevel="1">
      <c r="A14" s="242"/>
      <c r="B14" s="242" t="s">
        <v>392</v>
      </c>
      <c r="C14" s="242"/>
      <c r="D14" s="252"/>
      <c r="E14" s="244">
        <f t="shared" ref="E14:Q14" si="4">SUM(E4:E13)</f>
        <v>0</v>
      </c>
      <c r="F14" s="244">
        <f t="shared" si="4"/>
        <v>0</v>
      </c>
      <c r="G14" s="244">
        <f t="shared" si="4"/>
        <v>0</v>
      </c>
      <c r="H14" s="244">
        <f t="shared" si="4"/>
        <v>0</v>
      </c>
      <c r="I14" s="244">
        <f t="shared" si="4"/>
        <v>0</v>
      </c>
      <c r="J14" s="244">
        <f t="shared" si="4"/>
        <v>0</v>
      </c>
      <c r="K14" s="244">
        <f t="shared" si="4"/>
        <v>0</v>
      </c>
      <c r="L14" s="244">
        <f t="shared" si="4"/>
        <v>0</v>
      </c>
      <c r="M14" s="244">
        <f t="shared" si="4"/>
        <v>0</v>
      </c>
      <c r="N14" s="244">
        <f t="shared" si="4"/>
        <v>0</v>
      </c>
      <c r="O14" s="244">
        <f t="shared" si="4"/>
        <v>3500</v>
      </c>
      <c r="P14" s="244">
        <f t="shared" si="4"/>
        <v>10000</v>
      </c>
      <c r="Q14" s="244">
        <f t="shared" si="4"/>
        <v>13500</v>
      </c>
      <c r="S14" s="244">
        <f t="shared" ref="S14:AE14" si="5">SUM(S4:S13)</f>
        <v>57783</v>
      </c>
      <c r="T14" s="244">
        <f t="shared" si="5"/>
        <v>32783</v>
      </c>
      <c r="U14" s="244">
        <f t="shared" si="5"/>
        <v>32783</v>
      </c>
      <c r="V14" s="244">
        <f t="shared" si="5"/>
        <v>32783</v>
      </c>
      <c r="W14" s="244">
        <f t="shared" si="5"/>
        <v>32783</v>
      </c>
      <c r="X14" s="244">
        <f t="shared" si="5"/>
        <v>67783</v>
      </c>
      <c r="Y14" s="244">
        <f t="shared" si="5"/>
        <v>62783</v>
      </c>
      <c r="Z14" s="244">
        <f t="shared" si="5"/>
        <v>62783</v>
      </c>
      <c r="AA14" s="244">
        <f t="shared" si="5"/>
        <v>62783</v>
      </c>
      <c r="AB14" s="244">
        <f t="shared" si="5"/>
        <v>62783</v>
      </c>
      <c r="AC14" s="244">
        <f t="shared" si="5"/>
        <v>62783</v>
      </c>
      <c r="AD14" s="244">
        <f t="shared" si="5"/>
        <v>62783</v>
      </c>
      <c r="AE14" s="403">
        <f t="shared" si="5"/>
        <v>633396</v>
      </c>
    </row>
    <row r="16" spans="1:31"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11</v>
      </c>
      <c r="N16" s="1">
        <v>12</v>
      </c>
      <c r="O16" s="1">
        <v>13</v>
      </c>
      <c r="P16" s="1">
        <v>14</v>
      </c>
      <c r="Q16" s="1">
        <v>15</v>
      </c>
      <c r="R16" s="1">
        <v>16</v>
      </c>
      <c r="S16" s="1">
        <v>17</v>
      </c>
      <c r="T16" s="1">
        <v>18</v>
      </c>
      <c r="U16" s="1">
        <v>19</v>
      </c>
      <c r="V16" s="1">
        <v>20</v>
      </c>
      <c r="W16" s="1">
        <v>21</v>
      </c>
      <c r="X16" s="1">
        <v>22</v>
      </c>
      <c r="Y16" s="1">
        <v>23</v>
      </c>
      <c r="Z16" s="1">
        <v>24</v>
      </c>
      <c r="AA16" s="1">
        <v>25</v>
      </c>
      <c r="AB16" s="1">
        <v>26</v>
      </c>
      <c r="AC16" s="1">
        <v>27</v>
      </c>
      <c r="AD16" s="1">
        <v>28</v>
      </c>
      <c r="AE16" s="1">
        <v>29</v>
      </c>
    </row>
    <row r="17" spans="1:31">
      <c r="C17" s="242" t="s">
        <v>216</v>
      </c>
      <c r="D17" s="253"/>
      <c r="E17" s="114">
        <v>42736</v>
      </c>
      <c r="F17" s="114">
        <v>42767</v>
      </c>
      <c r="G17" s="114">
        <v>42795</v>
      </c>
      <c r="H17" s="114">
        <v>42826</v>
      </c>
      <c r="I17" s="114">
        <v>42856</v>
      </c>
      <c r="J17" s="114">
        <v>42887</v>
      </c>
      <c r="K17" s="114">
        <v>42917</v>
      </c>
      <c r="L17" s="114">
        <v>42948</v>
      </c>
      <c r="M17" s="114">
        <v>42979</v>
      </c>
      <c r="N17" s="91">
        <v>43009</v>
      </c>
      <c r="O17" s="91">
        <v>43040</v>
      </c>
      <c r="P17" s="91">
        <v>43070</v>
      </c>
      <c r="Q17" s="112">
        <v>2017</v>
      </c>
      <c r="S17" s="89">
        <v>43101</v>
      </c>
      <c r="T17" s="89">
        <v>43132</v>
      </c>
      <c r="U17" s="89">
        <v>43160</v>
      </c>
      <c r="V17" s="89">
        <v>43191</v>
      </c>
      <c r="W17" s="89">
        <v>43221</v>
      </c>
      <c r="X17" s="89">
        <v>43252</v>
      </c>
      <c r="Y17" s="89">
        <v>43282</v>
      </c>
      <c r="Z17" s="89">
        <v>43313</v>
      </c>
      <c r="AA17" s="89">
        <v>43344</v>
      </c>
      <c r="AB17" s="89">
        <v>43374</v>
      </c>
      <c r="AC17" s="89">
        <v>43405</v>
      </c>
      <c r="AD17" s="89">
        <v>43435</v>
      </c>
      <c r="AE17" s="113">
        <v>2018</v>
      </c>
    </row>
    <row r="18" spans="1:31">
      <c r="C18" s="248">
        <v>1100</v>
      </c>
      <c r="D18" s="246" t="s">
        <v>149</v>
      </c>
      <c r="E18" s="41">
        <f t="shared" ref="E18:Q29" si="6">SUMIF($C$1:$C$14,$C18,E$1:E$14)</f>
        <v>0</v>
      </c>
      <c r="F18" s="41">
        <f t="shared" si="6"/>
        <v>0</v>
      </c>
      <c r="G18" s="41">
        <f t="shared" si="6"/>
        <v>0</v>
      </c>
      <c r="H18" s="41">
        <f t="shared" si="6"/>
        <v>0</v>
      </c>
      <c r="I18" s="41">
        <f t="shared" si="6"/>
        <v>0</v>
      </c>
      <c r="J18" s="41">
        <f t="shared" si="6"/>
        <v>0</v>
      </c>
      <c r="K18" s="41">
        <f t="shared" si="6"/>
        <v>0</v>
      </c>
      <c r="L18" s="41">
        <f t="shared" si="6"/>
        <v>0</v>
      </c>
      <c r="M18" s="41">
        <f t="shared" si="6"/>
        <v>0</v>
      </c>
      <c r="N18" s="41">
        <f t="shared" si="6"/>
        <v>0</v>
      </c>
      <c r="O18" s="41">
        <f t="shared" si="6"/>
        <v>0</v>
      </c>
      <c r="P18" s="41">
        <f t="shared" si="6"/>
        <v>0</v>
      </c>
      <c r="Q18" s="41">
        <f t="shared" si="6"/>
        <v>0</v>
      </c>
      <c r="S18" s="41">
        <f t="shared" ref="S18:AE29" si="7">SUMIF($C$1:$C$14,$C18,S$1:S$14)</f>
        <v>0</v>
      </c>
      <c r="T18" s="41">
        <f t="shared" si="7"/>
        <v>0</v>
      </c>
      <c r="U18" s="41">
        <f t="shared" si="7"/>
        <v>0</v>
      </c>
      <c r="V18" s="41">
        <f t="shared" si="7"/>
        <v>0</v>
      </c>
      <c r="W18" s="41">
        <f t="shared" si="7"/>
        <v>0</v>
      </c>
      <c r="X18" s="41">
        <f t="shared" si="7"/>
        <v>0</v>
      </c>
      <c r="Y18" s="41">
        <f t="shared" si="7"/>
        <v>0</v>
      </c>
      <c r="Z18" s="41">
        <f t="shared" si="7"/>
        <v>0</v>
      </c>
      <c r="AA18" s="41">
        <f t="shared" si="7"/>
        <v>0</v>
      </c>
      <c r="AB18" s="41">
        <f t="shared" si="7"/>
        <v>0</v>
      </c>
      <c r="AC18" s="41">
        <f t="shared" si="7"/>
        <v>0</v>
      </c>
      <c r="AD18" s="41">
        <f t="shared" si="7"/>
        <v>0</v>
      </c>
      <c r="AE18" s="41">
        <f t="shared" si="7"/>
        <v>0</v>
      </c>
    </row>
    <row r="19" spans="1:31">
      <c r="C19" s="248">
        <v>1200</v>
      </c>
      <c r="D19" s="246" t="s">
        <v>75</v>
      </c>
      <c r="E19" s="41">
        <f t="shared" si="6"/>
        <v>0</v>
      </c>
      <c r="F19" s="41">
        <f t="shared" si="6"/>
        <v>0</v>
      </c>
      <c r="G19" s="41">
        <f t="shared" si="6"/>
        <v>0</v>
      </c>
      <c r="H19" s="41">
        <f t="shared" si="6"/>
        <v>0</v>
      </c>
      <c r="I19" s="41">
        <f t="shared" si="6"/>
        <v>0</v>
      </c>
      <c r="J19" s="41">
        <f t="shared" si="6"/>
        <v>0</v>
      </c>
      <c r="K19" s="41">
        <f t="shared" si="6"/>
        <v>0</v>
      </c>
      <c r="L19" s="41">
        <f t="shared" si="6"/>
        <v>0</v>
      </c>
      <c r="M19" s="41">
        <f t="shared" si="6"/>
        <v>0</v>
      </c>
      <c r="N19" s="41">
        <f t="shared" si="6"/>
        <v>0</v>
      </c>
      <c r="O19" s="41">
        <f t="shared" si="6"/>
        <v>0</v>
      </c>
      <c r="P19" s="41">
        <f t="shared" si="6"/>
        <v>0</v>
      </c>
      <c r="Q19" s="41">
        <f t="shared" si="6"/>
        <v>0</v>
      </c>
      <c r="S19" s="41">
        <f t="shared" si="7"/>
        <v>0</v>
      </c>
      <c r="T19" s="41">
        <f t="shared" si="7"/>
        <v>0</v>
      </c>
      <c r="U19" s="41">
        <f t="shared" si="7"/>
        <v>0</v>
      </c>
      <c r="V19" s="41">
        <f t="shared" si="7"/>
        <v>0</v>
      </c>
      <c r="W19" s="41">
        <f t="shared" si="7"/>
        <v>0</v>
      </c>
      <c r="X19" s="41">
        <f t="shared" si="7"/>
        <v>0</v>
      </c>
      <c r="Y19" s="41">
        <f t="shared" si="7"/>
        <v>0</v>
      </c>
      <c r="Z19" s="41">
        <f t="shared" si="7"/>
        <v>0</v>
      </c>
      <c r="AA19" s="41">
        <f t="shared" si="7"/>
        <v>0</v>
      </c>
      <c r="AB19" s="41">
        <f t="shared" si="7"/>
        <v>0</v>
      </c>
      <c r="AC19" s="41">
        <f t="shared" si="7"/>
        <v>0</v>
      </c>
      <c r="AD19" s="41">
        <f t="shared" si="7"/>
        <v>0</v>
      </c>
      <c r="AE19" s="41">
        <f t="shared" si="7"/>
        <v>0</v>
      </c>
    </row>
    <row r="20" spans="1:31">
      <c r="C20" s="248">
        <v>2200</v>
      </c>
      <c r="D20" s="246" t="s">
        <v>457</v>
      </c>
      <c r="E20" s="41">
        <f t="shared" si="6"/>
        <v>0</v>
      </c>
      <c r="F20" s="41">
        <f t="shared" si="6"/>
        <v>0</v>
      </c>
      <c r="G20" s="41">
        <f t="shared" si="6"/>
        <v>0</v>
      </c>
      <c r="H20" s="41">
        <f t="shared" si="6"/>
        <v>0</v>
      </c>
      <c r="I20" s="41">
        <f t="shared" si="6"/>
        <v>0</v>
      </c>
      <c r="J20" s="41">
        <f t="shared" si="6"/>
        <v>0</v>
      </c>
      <c r="K20" s="41">
        <f t="shared" si="6"/>
        <v>0</v>
      </c>
      <c r="L20" s="41">
        <f t="shared" si="6"/>
        <v>0</v>
      </c>
      <c r="M20" s="41">
        <f t="shared" si="6"/>
        <v>0</v>
      </c>
      <c r="N20" s="41">
        <f t="shared" si="6"/>
        <v>0</v>
      </c>
      <c r="O20" s="41">
        <f t="shared" si="6"/>
        <v>0</v>
      </c>
      <c r="P20" s="41">
        <f t="shared" si="6"/>
        <v>0</v>
      </c>
      <c r="Q20" s="41">
        <f t="shared" si="6"/>
        <v>0</v>
      </c>
      <c r="S20" s="41">
        <f t="shared" si="7"/>
        <v>0</v>
      </c>
      <c r="T20" s="41">
        <f t="shared" si="7"/>
        <v>0</v>
      </c>
      <c r="U20" s="41">
        <f t="shared" si="7"/>
        <v>0</v>
      </c>
      <c r="V20" s="41">
        <f t="shared" si="7"/>
        <v>0</v>
      </c>
      <c r="W20" s="41">
        <f t="shared" si="7"/>
        <v>0</v>
      </c>
      <c r="X20" s="41">
        <f t="shared" si="7"/>
        <v>0</v>
      </c>
      <c r="Y20" s="41">
        <f t="shared" si="7"/>
        <v>0</v>
      </c>
      <c r="Z20" s="41">
        <f t="shared" si="7"/>
        <v>0</v>
      </c>
      <c r="AA20" s="41">
        <f t="shared" si="7"/>
        <v>0</v>
      </c>
      <c r="AB20" s="41">
        <f t="shared" si="7"/>
        <v>0</v>
      </c>
      <c r="AC20" s="41">
        <f t="shared" si="7"/>
        <v>0</v>
      </c>
      <c r="AD20" s="41">
        <f t="shared" si="7"/>
        <v>0</v>
      </c>
      <c r="AE20" s="41">
        <f t="shared" si="7"/>
        <v>0</v>
      </c>
    </row>
    <row r="21" spans="1:31">
      <c r="C21" s="248">
        <v>3100</v>
      </c>
      <c r="D21" s="246" t="s">
        <v>63</v>
      </c>
      <c r="E21" s="41">
        <f t="shared" si="6"/>
        <v>0</v>
      </c>
      <c r="F21" s="41">
        <f t="shared" si="6"/>
        <v>0</v>
      </c>
      <c r="G21" s="41">
        <f t="shared" si="6"/>
        <v>0</v>
      </c>
      <c r="H21" s="41">
        <f t="shared" si="6"/>
        <v>0</v>
      </c>
      <c r="I21" s="41">
        <f t="shared" si="6"/>
        <v>0</v>
      </c>
      <c r="J21" s="41">
        <f t="shared" si="6"/>
        <v>0</v>
      </c>
      <c r="K21" s="41">
        <f t="shared" si="6"/>
        <v>0</v>
      </c>
      <c r="L21" s="41">
        <f t="shared" si="6"/>
        <v>0</v>
      </c>
      <c r="M21" s="41">
        <f t="shared" si="6"/>
        <v>0</v>
      </c>
      <c r="N21" s="41">
        <f t="shared" si="6"/>
        <v>0</v>
      </c>
      <c r="O21" s="41">
        <f t="shared" si="6"/>
        <v>3500</v>
      </c>
      <c r="P21" s="41">
        <f t="shared" si="6"/>
        <v>0</v>
      </c>
      <c r="Q21" s="41">
        <f t="shared" si="6"/>
        <v>3500</v>
      </c>
      <c r="S21" s="41">
        <f t="shared" si="7"/>
        <v>32783</v>
      </c>
      <c r="T21" s="41">
        <f t="shared" si="7"/>
        <v>32783</v>
      </c>
      <c r="U21" s="41">
        <f t="shared" si="7"/>
        <v>32783</v>
      </c>
      <c r="V21" s="41">
        <f t="shared" si="7"/>
        <v>32783</v>
      </c>
      <c r="W21" s="41">
        <f t="shared" si="7"/>
        <v>32783</v>
      </c>
      <c r="X21" s="41">
        <f t="shared" si="7"/>
        <v>62783</v>
      </c>
      <c r="Y21" s="41">
        <f t="shared" si="7"/>
        <v>62783</v>
      </c>
      <c r="Z21" s="41">
        <f t="shared" si="7"/>
        <v>62783</v>
      </c>
      <c r="AA21" s="41">
        <f t="shared" si="7"/>
        <v>62783</v>
      </c>
      <c r="AB21" s="41">
        <f t="shared" si="7"/>
        <v>62783</v>
      </c>
      <c r="AC21" s="41">
        <f t="shared" si="7"/>
        <v>62783</v>
      </c>
      <c r="AD21" s="41">
        <f t="shared" si="7"/>
        <v>62783</v>
      </c>
      <c r="AE21" s="41">
        <f t="shared" si="7"/>
        <v>603396</v>
      </c>
    </row>
    <row r="22" spans="1:31">
      <c r="C22" s="248">
        <v>4100</v>
      </c>
      <c r="D22" s="246" t="s">
        <v>54</v>
      </c>
      <c r="E22" s="41">
        <f t="shared" si="6"/>
        <v>0</v>
      </c>
      <c r="F22" s="41">
        <f t="shared" si="6"/>
        <v>0</v>
      </c>
      <c r="G22" s="41">
        <f t="shared" si="6"/>
        <v>0</v>
      </c>
      <c r="H22" s="41">
        <f t="shared" si="6"/>
        <v>0</v>
      </c>
      <c r="I22" s="41">
        <f t="shared" si="6"/>
        <v>0</v>
      </c>
      <c r="J22" s="41">
        <f t="shared" si="6"/>
        <v>0</v>
      </c>
      <c r="K22" s="41">
        <f t="shared" si="6"/>
        <v>0</v>
      </c>
      <c r="L22" s="41">
        <f t="shared" si="6"/>
        <v>0</v>
      </c>
      <c r="M22" s="41">
        <f t="shared" si="6"/>
        <v>0</v>
      </c>
      <c r="N22" s="41">
        <f t="shared" si="6"/>
        <v>0</v>
      </c>
      <c r="O22" s="41">
        <f t="shared" si="6"/>
        <v>0</v>
      </c>
      <c r="P22" s="41">
        <f t="shared" si="6"/>
        <v>0</v>
      </c>
      <c r="Q22" s="41">
        <f t="shared" si="6"/>
        <v>0</v>
      </c>
      <c r="S22" s="41">
        <f t="shared" si="7"/>
        <v>25000</v>
      </c>
      <c r="T22" s="41">
        <f t="shared" si="7"/>
        <v>0</v>
      </c>
      <c r="U22" s="41">
        <f t="shared" si="7"/>
        <v>0</v>
      </c>
      <c r="V22" s="41">
        <f t="shared" si="7"/>
        <v>0</v>
      </c>
      <c r="W22" s="41">
        <f t="shared" si="7"/>
        <v>0</v>
      </c>
      <c r="X22" s="41">
        <f t="shared" si="7"/>
        <v>0</v>
      </c>
      <c r="Y22" s="41">
        <f t="shared" si="7"/>
        <v>0</v>
      </c>
      <c r="Z22" s="41">
        <f t="shared" si="7"/>
        <v>0</v>
      </c>
      <c r="AA22" s="41">
        <f t="shared" si="7"/>
        <v>0</v>
      </c>
      <c r="AB22" s="41">
        <f t="shared" si="7"/>
        <v>0</v>
      </c>
      <c r="AC22" s="41">
        <f t="shared" si="7"/>
        <v>0</v>
      </c>
      <c r="AD22" s="41">
        <f t="shared" si="7"/>
        <v>0</v>
      </c>
      <c r="AE22" s="41">
        <f t="shared" si="7"/>
        <v>25000</v>
      </c>
    </row>
    <row r="23" spans="1:31">
      <c r="C23" s="248">
        <v>5100</v>
      </c>
      <c r="D23" s="246" t="s">
        <v>64</v>
      </c>
      <c r="E23" s="41">
        <f t="shared" si="6"/>
        <v>0</v>
      </c>
      <c r="F23" s="41">
        <f t="shared" si="6"/>
        <v>0</v>
      </c>
      <c r="G23" s="41">
        <f t="shared" si="6"/>
        <v>0</v>
      </c>
      <c r="H23" s="41">
        <f t="shared" si="6"/>
        <v>0</v>
      </c>
      <c r="I23" s="41">
        <f t="shared" si="6"/>
        <v>0</v>
      </c>
      <c r="J23" s="41">
        <f t="shared" si="6"/>
        <v>0</v>
      </c>
      <c r="K23" s="41">
        <f t="shared" si="6"/>
        <v>0</v>
      </c>
      <c r="L23" s="41">
        <f t="shared" si="6"/>
        <v>0</v>
      </c>
      <c r="M23" s="41">
        <f t="shared" si="6"/>
        <v>0</v>
      </c>
      <c r="N23" s="41">
        <f t="shared" si="6"/>
        <v>0</v>
      </c>
      <c r="O23" s="41">
        <f t="shared" si="6"/>
        <v>0</v>
      </c>
      <c r="P23" s="41">
        <f t="shared" si="6"/>
        <v>10000</v>
      </c>
      <c r="Q23" s="41">
        <f t="shared" si="6"/>
        <v>10000</v>
      </c>
      <c r="S23" s="41">
        <f t="shared" si="7"/>
        <v>0</v>
      </c>
      <c r="T23" s="41">
        <f t="shared" si="7"/>
        <v>0</v>
      </c>
      <c r="U23" s="41">
        <f t="shared" si="7"/>
        <v>0</v>
      </c>
      <c r="V23" s="41">
        <f t="shared" si="7"/>
        <v>0</v>
      </c>
      <c r="W23" s="41">
        <f t="shared" si="7"/>
        <v>0</v>
      </c>
      <c r="X23" s="41">
        <f t="shared" si="7"/>
        <v>5000</v>
      </c>
      <c r="Y23" s="41">
        <f t="shared" si="7"/>
        <v>0</v>
      </c>
      <c r="Z23" s="41">
        <f t="shared" si="7"/>
        <v>0</v>
      </c>
      <c r="AA23" s="41">
        <f t="shared" si="7"/>
        <v>0</v>
      </c>
      <c r="AB23" s="41">
        <f t="shared" si="7"/>
        <v>0</v>
      </c>
      <c r="AC23" s="41">
        <f t="shared" si="7"/>
        <v>0</v>
      </c>
      <c r="AD23" s="41">
        <f t="shared" si="7"/>
        <v>0</v>
      </c>
      <c r="AE23" s="41">
        <f t="shared" si="7"/>
        <v>5000</v>
      </c>
    </row>
    <row r="24" spans="1:31">
      <c r="C24" s="248">
        <v>6100</v>
      </c>
      <c r="D24" s="246" t="s">
        <v>65</v>
      </c>
      <c r="E24" s="41">
        <f t="shared" si="6"/>
        <v>0</v>
      </c>
      <c r="F24" s="41">
        <f t="shared" si="6"/>
        <v>0</v>
      </c>
      <c r="G24" s="41">
        <f t="shared" si="6"/>
        <v>0</v>
      </c>
      <c r="H24" s="41">
        <f t="shared" si="6"/>
        <v>0</v>
      </c>
      <c r="I24" s="41">
        <f t="shared" si="6"/>
        <v>0</v>
      </c>
      <c r="J24" s="41">
        <f t="shared" si="6"/>
        <v>0</v>
      </c>
      <c r="K24" s="41">
        <f t="shared" si="6"/>
        <v>0</v>
      </c>
      <c r="L24" s="41">
        <f t="shared" si="6"/>
        <v>0</v>
      </c>
      <c r="M24" s="41">
        <f t="shared" si="6"/>
        <v>0</v>
      </c>
      <c r="N24" s="41">
        <f t="shared" si="6"/>
        <v>0</v>
      </c>
      <c r="O24" s="41">
        <f t="shared" si="6"/>
        <v>0</v>
      </c>
      <c r="P24" s="41">
        <f t="shared" si="6"/>
        <v>0</v>
      </c>
      <c r="Q24" s="41">
        <f t="shared" si="6"/>
        <v>0</v>
      </c>
      <c r="S24" s="41">
        <f t="shared" si="7"/>
        <v>0</v>
      </c>
      <c r="T24" s="41">
        <f t="shared" si="7"/>
        <v>0</v>
      </c>
      <c r="U24" s="41">
        <f t="shared" si="7"/>
        <v>0</v>
      </c>
      <c r="V24" s="41">
        <f t="shared" si="7"/>
        <v>0</v>
      </c>
      <c r="W24" s="41">
        <f t="shared" si="7"/>
        <v>0</v>
      </c>
      <c r="X24" s="41">
        <f t="shared" si="7"/>
        <v>0</v>
      </c>
      <c r="Y24" s="41">
        <f t="shared" si="7"/>
        <v>0</v>
      </c>
      <c r="Z24" s="41">
        <f t="shared" si="7"/>
        <v>0</v>
      </c>
      <c r="AA24" s="41">
        <f t="shared" si="7"/>
        <v>0</v>
      </c>
      <c r="AB24" s="41">
        <f t="shared" si="7"/>
        <v>0</v>
      </c>
      <c r="AC24" s="41">
        <f t="shared" si="7"/>
        <v>0</v>
      </c>
      <c r="AD24" s="41">
        <f t="shared" si="7"/>
        <v>0</v>
      </c>
      <c r="AE24" s="41">
        <f t="shared" si="7"/>
        <v>0</v>
      </c>
    </row>
    <row r="25" spans="1:31">
      <c r="C25" s="248">
        <v>6800</v>
      </c>
      <c r="D25" s="246" t="s">
        <v>135</v>
      </c>
      <c r="E25" s="41">
        <f t="shared" si="6"/>
        <v>0</v>
      </c>
      <c r="F25" s="41">
        <f t="shared" si="6"/>
        <v>0</v>
      </c>
      <c r="G25" s="41">
        <f t="shared" si="6"/>
        <v>0</v>
      </c>
      <c r="H25" s="41">
        <f t="shared" si="6"/>
        <v>0</v>
      </c>
      <c r="I25" s="41">
        <f t="shared" si="6"/>
        <v>0</v>
      </c>
      <c r="J25" s="41">
        <f t="shared" si="6"/>
        <v>0</v>
      </c>
      <c r="K25" s="41">
        <f t="shared" si="6"/>
        <v>0</v>
      </c>
      <c r="L25" s="41">
        <f t="shared" si="6"/>
        <v>0</v>
      </c>
      <c r="M25" s="41">
        <f t="shared" si="6"/>
        <v>0</v>
      </c>
      <c r="N25" s="41">
        <f t="shared" si="6"/>
        <v>0</v>
      </c>
      <c r="O25" s="41">
        <f t="shared" si="6"/>
        <v>0</v>
      </c>
      <c r="P25" s="41">
        <f t="shared" si="6"/>
        <v>0</v>
      </c>
      <c r="Q25" s="41">
        <f t="shared" si="6"/>
        <v>0</v>
      </c>
      <c r="S25" s="41">
        <f t="shared" si="7"/>
        <v>0</v>
      </c>
      <c r="T25" s="41">
        <f t="shared" si="7"/>
        <v>0</v>
      </c>
      <c r="U25" s="41">
        <f t="shared" si="7"/>
        <v>0</v>
      </c>
      <c r="V25" s="41">
        <f t="shared" si="7"/>
        <v>0</v>
      </c>
      <c r="W25" s="41">
        <f t="shared" si="7"/>
        <v>0</v>
      </c>
      <c r="X25" s="41">
        <f t="shared" si="7"/>
        <v>0</v>
      </c>
      <c r="Y25" s="41">
        <f t="shared" si="7"/>
        <v>0</v>
      </c>
      <c r="Z25" s="41">
        <f t="shared" si="7"/>
        <v>0</v>
      </c>
      <c r="AA25" s="41">
        <f t="shared" si="7"/>
        <v>0</v>
      </c>
      <c r="AB25" s="41">
        <f t="shared" si="7"/>
        <v>0</v>
      </c>
      <c r="AC25" s="41">
        <f t="shared" si="7"/>
        <v>0</v>
      </c>
      <c r="AD25" s="41">
        <f t="shared" si="7"/>
        <v>0</v>
      </c>
      <c r="AE25" s="41">
        <f t="shared" si="7"/>
        <v>0</v>
      </c>
    </row>
    <row r="26" spans="1:31">
      <c r="C26" s="248">
        <v>7200</v>
      </c>
      <c r="D26" s="246" t="s">
        <v>209</v>
      </c>
      <c r="E26" s="41">
        <f t="shared" si="6"/>
        <v>0</v>
      </c>
      <c r="F26" s="41">
        <f t="shared" si="6"/>
        <v>0</v>
      </c>
      <c r="G26" s="41">
        <f t="shared" si="6"/>
        <v>0</v>
      </c>
      <c r="H26" s="41">
        <f t="shared" si="6"/>
        <v>0</v>
      </c>
      <c r="I26" s="41">
        <f t="shared" si="6"/>
        <v>0</v>
      </c>
      <c r="J26" s="41">
        <f t="shared" si="6"/>
        <v>0</v>
      </c>
      <c r="K26" s="41">
        <f t="shared" si="6"/>
        <v>0</v>
      </c>
      <c r="L26" s="41">
        <f t="shared" si="6"/>
        <v>0</v>
      </c>
      <c r="M26" s="41">
        <f t="shared" si="6"/>
        <v>0</v>
      </c>
      <c r="N26" s="41">
        <f t="shared" si="6"/>
        <v>0</v>
      </c>
      <c r="O26" s="41">
        <f t="shared" si="6"/>
        <v>0</v>
      </c>
      <c r="P26" s="41">
        <f t="shared" si="6"/>
        <v>0</v>
      </c>
      <c r="Q26" s="41">
        <f t="shared" si="6"/>
        <v>0</v>
      </c>
      <c r="S26" s="41">
        <f t="shared" si="7"/>
        <v>0</v>
      </c>
      <c r="T26" s="41">
        <f t="shared" si="7"/>
        <v>0</v>
      </c>
      <c r="U26" s="41">
        <f t="shared" si="7"/>
        <v>0</v>
      </c>
      <c r="V26" s="41">
        <f t="shared" si="7"/>
        <v>0</v>
      </c>
      <c r="W26" s="41">
        <f t="shared" si="7"/>
        <v>0</v>
      </c>
      <c r="X26" s="41">
        <f t="shared" si="7"/>
        <v>0</v>
      </c>
      <c r="Y26" s="41">
        <f t="shared" si="7"/>
        <v>0</v>
      </c>
      <c r="Z26" s="41">
        <f t="shared" si="7"/>
        <v>0</v>
      </c>
      <c r="AA26" s="41">
        <f t="shared" si="7"/>
        <v>0</v>
      </c>
      <c r="AB26" s="41">
        <f t="shared" si="7"/>
        <v>0</v>
      </c>
      <c r="AC26" s="41">
        <f t="shared" si="7"/>
        <v>0</v>
      </c>
      <c r="AD26" s="41">
        <f t="shared" si="7"/>
        <v>0</v>
      </c>
      <c r="AE26" s="41">
        <f t="shared" si="7"/>
        <v>0</v>
      </c>
    </row>
    <row r="27" spans="1:31">
      <c r="C27" s="248">
        <v>7300</v>
      </c>
      <c r="D27" s="246" t="s">
        <v>70</v>
      </c>
      <c r="E27" s="41">
        <f t="shared" si="6"/>
        <v>0</v>
      </c>
      <c r="F27" s="41">
        <f t="shared" si="6"/>
        <v>0</v>
      </c>
      <c r="G27" s="41">
        <f t="shared" si="6"/>
        <v>0</v>
      </c>
      <c r="H27" s="41">
        <f t="shared" si="6"/>
        <v>0</v>
      </c>
      <c r="I27" s="41">
        <f t="shared" si="6"/>
        <v>0</v>
      </c>
      <c r="J27" s="41">
        <f t="shared" si="6"/>
        <v>0</v>
      </c>
      <c r="K27" s="41">
        <f t="shared" si="6"/>
        <v>0</v>
      </c>
      <c r="L27" s="41">
        <f t="shared" si="6"/>
        <v>0</v>
      </c>
      <c r="M27" s="41">
        <f t="shared" si="6"/>
        <v>0</v>
      </c>
      <c r="N27" s="41">
        <f t="shared" si="6"/>
        <v>0</v>
      </c>
      <c r="O27" s="41">
        <f t="shared" si="6"/>
        <v>0</v>
      </c>
      <c r="P27" s="41">
        <f t="shared" si="6"/>
        <v>0</v>
      </c>
      <c r="Q27" s="41">
        <f t="shared" si="6"/>
        <v>0</v>
      </c>
      <c r="S27" s="41">
        <f t="shared" si="7"/>
        <v>0</v>
      </c>
      <c r="T27" s="41">
        <f t="shared" si="7"/>
        <v>0</v>
      </c>
      <c r="U27" s="41">
        <f t="shared" si="7"/>
        <v>0</v>
      </c>
      <c r="V27" s="41">
        <f t="shared" si="7"/>
        <v>0</v>
      </c>
      <c r="W27" s="41">
        <f t="shared" si="7"/>
        <v>0</v>
      </c>
      <c r="X27" s="41">
        <f t="shared" si="7"/>
        <v>0</v>
      </c>
      <c r="Y27" s="41">
        <f t="shared" si="7"/>
        <v>0</v>
      </c>
      <c r="Z27" s="41">
        <f t="shared" si="7"/>
        <v>0</v>
      </c>
      <c r="AA27" s="41">
        <f t="shared" si="7"/>
        <v>0</v>
      </c>
      <c r="AB27" s="41">
        <f t="shared" si="7"/>
        <v>0</v>
      </c>
      <c r="AC27" s="41">
        <f t="shared" si="7"/>
        <v>0</v>
      </c>
      <c r="AD27" s="41">
        <f t="shared" si="7"/>
        <v>0</v>
      </c>
      <c r="AE27" s="41">
        <f t="shared" si="7"/>
        <v>0</v>
      </c>
    </row>
    <row r="28" spans="1:31">
      <c r="C28" s="248">
        <v>8200</v>
      </c>
      <c r="D28" s="246" t="s">
        <v>72</v>
      </c>
      <c r="E28" s="41">
        <f t="shared" si="6"/>
        <v>0</v>
      </c>
      <c r="F28" s="41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41">
        <f t="shared" si="6"/>
        <v>0</v>
      </c>
      <c r="K28" s="41">
        <f t="shared" si="6"/>
        <v>0</v>
      </c>
      <c r="L28" s="41">
        <f t="shared" si="6"/>
        <v>0</v>
      </c>
      <c r="M28" s="41">
        <f t="shared" si="6"/>
        <v>0</v>
      </c>
      <c r="N28" s="41">
        <f t="shared" si="6"/>
        <v>0</v>
      </c>
      <c r="O28" s="41">
        <f t="shared" si="6"/>
        <v>0</v>
      </c>
      <c r="P28" s="41">
        <f t="shared" si="6"/>
        <v>0</v>
      </c>
      <c r="Q28" s="41">
        <f t="shared" si="6"/>
        <v>0</v>
      </c>
      <c r="S28" s="41">
        <f t="shared" si="7"/>
        <v>0</v>
      </c>
      <c r="T28" s="41">
        <f t="shared" si="7"/>
        <v>0</v>
      </c>
      <c r="U28" s="41">
        <f t="shared" si="7"/>
        <v>0</v>
      </c>
      <c r="V28" s="41">
        <f t="shared" si="7"/>
        <v>0</v>
      </c>
      <c r="W28" s="41">
        <f t="shared" si="7"/>
        <v>0</v>
      </c>
      <c r="X28" s="41">
        <f t="shared" si="7"/>
        <v>0</v>
      </c>
      <c r="Y28" s="41">
        <f t="shared" si="7"/>
        <v>0</v>
      </c>
      <c r="Z28" s="41">
        <f t="shared" si="7"/>
        <v>0</v>
      </c>
      <c r="AA28" s="41">
        <f t="shared" si="7"/>
        <v>0</v>
      </c>
      <c r="AB28" s="41">
        <f t="shared" si="7"/>
        <v>0</v>
      </c>
      <c r="AC28" s="41">
        <f t="shared" si="7"/>
        <v>0</v>
      </c>
      <c r="AD28" s="41">
        <f t="shared" si="7"/>
        <v>0</v>
      </c>
      <c r="AE28" s="41">
        <f t="shared" si="7"/>
        <v>0</v>
      </c>
    </row>
    <row r="29" spans="1:31">
      <c r="C29" s="248">
        <v>8300</v>
      </c>
      <c r="D29" s="246" t="s">
        <v>73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1">
        <f t="shared" si="6"/>
        <v>0</v>
      </c>
      <c r="S29" s="41">
        <f t="shared" si="7"/>
        <v>0</v>
      </c>
      <c r="T29" s="41">
        <f t="shared" si="7"/>
        <v>0</v>
      </c>
      <c r="U29" s="41">
        <f t="shared" si="7"/>
        <v>0</v>
      </c>
      <c r="V29" s="41">
        <f t="shared" si="7"/>
        <v>0</v>
      </c>
      <c r="W29" s="41">
        <f t="shared" si="7"/>
        <v>0</v>
      </c>
      <c r="X29" s="41">
        <f t="shared" si="7"/>
        <v>0</v>
      </c>
      <c r="Y29" s="41">
        <f t="shared" si="7"/>
        <v>0</v>
      </c>
      <c r="Z29" s="41">
        <f t="shared" si="7"/>
        <v>0</v>
      </c>
      <c r="AA29" s="41">
        <f t="shared" si="7"/>
        <v>0</v>
      </c>
      <c r="AB29" s="41">
        <f t="shared" si="7"/>
        <v>0</v>
      </c>
      <c r="AC29" s="41">
        <f t="shared" si="7"/>
        <v>0</v>
      </c>
      <c r="AD29" s="41">
        <f t="shared" si="7"/>
        <v>0</v>
      </c>
      <c r="AE29" s="41">
        <f t="shared" si="7"/>
        <v>0</v>
      </c>
    </row>
    <row r="30" spans="1:31" s="127" customFormat="1">
      <c r="A30" s="242"/>
      <c r="B30" s="242"/>
      <c r="C30" s="242"/>
      <c r="D30" s="252" t="s">
        <v>178</v>
      </c>
      <c r="E30" s="244">
        <f t="shared" ref="E30:Q30" si="8">SUM(E18:E29)</f>
        <v>0</v>
      </c>
      <c r="F30" s="244">
        <f t="shared" si="8"/>
        <v>0</v>
      </c>
      <c r="G30" s="244">
        <f t="shared" si="8"/>
        <v>0</v>
      </c>
      <c r="H30" s="244">
        <f t="shared" si="8"/>
        <v>0</v>
      </c>
      <c r="I30" s="244">
        <f t="shared" si="8"/>
        <v>0</v>
      </c>
      <c r="J30" s="244">
        <f t="shared" si="8"/>
        <v>0</v>
      </c>
      <c r="K30" s="244">
        <f t="shared" si="8"/>
        <v>0</v>
      </c>
      <c r="L30" s="244">
        <f t="shared" si="8"/>
        <v>0</v>
      </c>
      <c r="M30" s="244">
        <f t="shared" si="8"/>
        <v>0</v>
      </c>
      <c r="N30" s="244">
        <f t="shared" si="8"/>
        <v>0</v>
      </c>
      <c r="O30" s="244">
        <f t="shared" si="8"/>
        <v>3500</v>
      </c>
      <c r="P30" s="244">
        <f t="shared" si="8"/>
        <v>10000</v>
      </c>
      <c r="Q30" s="244">
        <f t="shared" si="8"/>
        <v>13500</v>
      </c>
      <c r="S30" s="244">
        <f t="shared" ref="S30:AE30" si="9">SUM(S18:S29)</f>
        <v>57783</v>
      </c>
      <c r="T30" s="244">
        <f t="shared" si="9"/>
        <v>32783</v>
      </c>
      <c r="U30" s="244">
        <f t="shared" si="9"/>
        <v>32783</v>
      </c>
      <c r="V30" s="244">
        <f t="shared" si="9"/>
        <v>32783</v>
      </c>
      <c r="W30" s="244">
        <f t="shared" si="9"/>
        <v>32783</v>
      </c>
      <c r="X30" s="244">
        <f t="shared" si="9"/>
        <v>67783</v>
      </c>
      <c r="Y30" s="244">
        <f t="shared" si="9"/>
        <v>62783</v>
      </c>
      <c r="Z30" s="244">
        <f t="shared" si="9"/>
        <v>62783</v>
      </c>
      <c r="AA30" s="244">
        <f t="shared" si="9"/>
        <v>62783</v>
      </c>
      <c r="AB30" s="244">
        <f t="shared" si="9"/>
        <v>62783</v>
      </c>
      <c r="AC30" s="244">
        <f t="shared" si="9"/>
        <v>62783</v>
      </c>
      <c r="AD30" s="244">
        <f t="shared" si="9"/>
        <v>62783</v>
      </c>
      <c r="AE30" s="244">
        <f t="shared" si="9"/>
        <v>633396</v>
      </c>
    </row>
  </sheetData>
  <pageMargins left="0.94488188976377963" right="0.35433070866141736" top="0.59055118110236227" bottom="0.78740157480314965" header="0.51181102362204722" footer="0.51181102362204722"/>
  <pageSetup paperSize="9" scale="3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30"/>
  <sheetViews>
    <sheetView showGridLines="0" workbookViewId="0">
      <pane xSplit="4" ySplit="1" topLeftCell="AB2" activePane="bottomRight" state="frozen"/>
      <selection activeCell="BM36" sqref="BM36"/>
      <selection pane="topRight" activeCell="BM36" sqref="BM36"/>
      <selection pane="bottomLeft" activeCell="BM36" sqref="BM36"/>
      <selection pane="bottomRight" activeCell="AF8" sqref="AF8"/>
    </sheetView>
  </sheetViews>
  <sheetFormatPr defaultColWidth="10.85546875" defaultRowHeight="15.75" outlineLevelRow="1" outlineLevelCol="1"/>
  <cols>
    <col min="1" max="1" width="15.42578125" style="241" customWidth="1" outlineLevel="1"/>
    <col min="2" max="2" width="62.28515625" style="241" customWidth="1" outlineLevel="1"/>
    <col min="3" max="3" width="12.28515625" style="241" customWidth="1"/>
    <col min="4" max="4" width="22.140625" style="254" bestFit="1" customWidth="1"/>
    <col min="5" max="5" width="10.140625" style="1" hidden="1" customWidth="1" outlineLevel="1"/>
    <col min="6" max="16" width="11.42578125" style="1" hidden="1" customWidth="1" outlineLevel="1"/>
    <col min="17" max="17" width="13.7109375" style="1" bestFit="1" customWidth="1" collapsed="1"/>
    <col min="18" max="18" width="2.42578125" style="1" customWidth="1"/>
    <col min="19" max="30" width="11.7109375" style="1" customWidth="1" outlineLevel="1"/>
    <col min="31" max="31" width="17.42578125" style="1" customWidth="1"/>
    <col min="32" max="16384" width="10.85546875" style="1"/>
  </cols>
  <sheetData>
    <row r="1" spans="1:33" outlineLevel="1">
      <c r="D1" s="250"/>
      <c r="E1" s="114">
        <v>42736</v>
      </c>
      <c r="F1" s="114">
        <v>42767</v>
      </c>
      <c r="G1" s="114">
        <v>42795</v>
      </c>
      <c r="H1" s="114">
        <v>42826</v>
      </c>
      <c r="I1" s="114">
        <v>42856</v>
      </c>
      <c r="J1" s="114">
        <v>42887</v>
      </c>
      <c r="K1" s="114">
        <v>42917</v>
      </c>
      <c r="L1" s="114">
        <v>42948</v>
      </c>
      <c r="M1" s="114">
        <v>42979</v>
      </c>
      <c r="N1" s="91">
        <v>43009</v>
      </c>
      <c r="O1" s="91">
        <v>43040</v>
      </c>
      <c r="P1" s="91">
        <v>43070</v>
      </c>
      <c r="Q1" s="112">
        <v>2017</v>
      </c>
      <c r="R1" s="87"/>
      <c r="S1" s="89">
        <v>43101</v>
      </c>
      <c r="T1" s="89">
        <v>43132</v>
      </c>
      <c r="U1" s="89">
        <v>43160</v>
      </c>
      <c r="V1" s="89">
        <v>43191</v>
      </c>
      <c r="W1" s="89">
        <v>43221</v>
      </c>
      <c r="X1" s="89">
        <v>43252</v>
      </c>
      <c r="Y1" s="89">
        <v>43282</v>
      </c>
      <c r="Z1" s="89">
        <v>43313</v>
      </c>
      <c r="AA1" s="89">
        <v>43344</v>
      </c>
      <c r="AB1" s="89">
        <v>43374</v>
      </c>
      <c r="AC1" s="89">
        <v>43405</v>
      </c>
      <c r="AD1" s="89">
        <v>43435</v>
      </c>
      <c r="AE1" s="113">
        <v>2018</v>
      </c>
    </row>
    <row r="2" spans="1:33" outlineLevel="1">
      <c r="A2" s="242" t="s">
        <v>256</v>
      </c>
      <c r="C2" s="241" t="s">
        <v>162</v>
      </c>
      <c r="D2" s="250"/>
      <c r="E2" s="115" t="s">
        <v>130</v>
      </c>
      <c r="F2" s="115" t="s">
        <v>130</v>
      </c>
      <c r="G2" s="115" t="s">
        <v>130</v>
      </c>
      <c r="H2" s="115" t="s">
        <v>130</v>
      </c>
      <c r="I2" s="115" t="s">
        <v>130</v>
      </c>
      <c r="J2" s="115" t="s">
        <v>130</v>
      </c>
      <c r="K2" s="115" t="s">
        <v>130</v>
      </c>
      <c r="L2" s="115" t="s">
        <v>130</v>
      </c>
      <c r="M2" s="115" t="s">
        <v>130</v>
      </c>
      <c r="N2" s="94" t="s">
        <v>130</v>
      </c>
      <c r="O2" s="94" t="s">
        <v>130</v>
      </c>
      <c r="P2" s="94" t="s">
        <v>130</v>
      </c>
      <c r="Q2" s="94" t="s">
        <v>0</v>
      </c>
      <c r="R2" s="87"/>
      <c r="S2" s="93" t="s">
        <v>130</v>
      </c>
      <c r="T2" s="93" t="s">
        <v>130</v>
      </c>
      <c r="U2" s="93" t="s">
        <v>130</v>
      </c>
      <c r="V2" s="93" t="s">
        <v>130</v>
      </c>
      <c r="W2" s="93" t="s">
        <v>130</v>
      </c>
      <c r="X2" s="93" t="s">
        <v>130</v>
      </c>
      <c r="Y2" s="93" t="s">
        <v>130</v>
      </c>
      <c r="Z2" s="93" t="s">
        <v>130</v>
      </c>
      <c r="AA2" s="93" t="s">
        <v>130</v>
      </c>
      <c r="AB2" s="93" t="s">
        <v>130</v>
      </c>
      <c r="AC2" s="93" t="s">
        <v>130</v>
      </c>
      <c r="AD2" s="93" t="s">
        <v>130</v>
      </c>
      <c r="AE2" s="93" t="s">
        <v>0</v>
      </c>
    </row>
    <row r="3" spans="1:33" ht="45.75" outlineLevel="1">
      <c r="A3" s="243" t="s">
        <v>239</v>
      </c>
      <c r="B3" s="243" t="s">
        <v>240</v>
      </c>
      <c r="C3" s="243" t="s">
        <v>218</v>
      </c>
      <c r="D3" s="251" t="s">
        <v>220</v>
      </c>
      <c r="E3" s="116" t="s">
        <v>79</v>
      </c>
      <c r="F3" s="116" t="s">
        <v>79</v>
      </c>
      <c r="G3" s="116" t="s">
        <v>79</v>
      </c>
      <c r="H3" s="116" t="s">
        <v>79</v>
      </c>
      <c r="I3" s="116" t="s">
        <v>79</v>
      </c>
      <c r="J3" s="116" t="s">
        <v>79</v>
      </c>
      <c r="K3" s="116" t="s">
        <v>79</v>
      </c>
      <c r="L3" s="116" t="s">
        <v>79</v>
      </c>
      <c r="M3" s="116" t="s">
        <v>79</v>
      </c>
      <c r="N3" s="95" t="s">
        <v>131</v>
      </c>
      <c r="O3" s="95" t="s">
        <v>131</v>
      </c>
      <c r="P3" s="95" t="s">
        <v>131</v>
      </c>
      <c r="Q3" s="95" t="s">
        <v>131</v>
      </c>
      <c r="R3" s="87"/>
      <c r="S3" s="38" t="s">
        <v>132</v>
      </c>
      <c r="T3" s="38" t="s">
        <v>132</v>
      </c>
      <c r="U3" s="38" t="s">
        <v>132</v>
      </c>
      <c r="V3" s="38" t="s">
        <v>132</v>
      </c>
      <c r="W3" s="38" t="s">
        <v>132</v>
      </c>
      <c r="X3" s="38" t="s">
        <v>132</v>
      </c>
      <c r="Y3" s="38" t="s">
        <v>132</v>
      </c>
      <c r="Z3" s="38" t="s">
        <v>132</v>
      </c>
      <c r="AA3" s="38" t="s">
        <v>132</v>
      </c>
      <c r="AB3" s="38" t="s">
        <v>132</v>
      </c>
      <c r="AC3" s="38" t="s">
        <v>132</v>
      </c>
      <c r="AD3" s="38" t="s">
        <v>132</v>
      </c>
      <c r="AE3" s="38" t="s">
        <v>133</v>
      </c>
    </row>
    <row r="4" spans="1:33" outlineLevel="1">
      <c r="A4" s="245"/>
      <c r="B4" s="246" t="s">
        <v>571</v>
      </c>
      <c r="C4" s="248">
        <v>4100</v>
      </c>
      <c r="D4" s="246" t="s">
        <v>54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96"/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f t="shared" ref="AE4:AE13" si="0">SUM(S4:AD4)</f>
        <v>0</v>
      </c>
    </row>
    <row r="5" spans="1:33" outlineLevel="1">
      <c r="A5" s="245"/>
      <c r="B5" s="246" t="s">
        <v>384</v>
      </c>
      <c r="C5" s="248">
        <v>4100</v>
      </c>
      <c r="D5" s="246" t="s">
        <v>54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96"/>
      <c r="S5" s="41">
        <f t="array" ref="S5:AD5">35000/12</f>
        <v>2916.6666666666665</v>
      </c>
      <c r="T5" s="41">
        <v>2916.6666666666665</v>
      </c>
      <c r="U5" s="41">
        <v>2916.6666666666665</v>
      </c>
      <c r="V5" s="41">
        <v>2916.6666666666665</v>
      </c>
      <c r="W5" s="41">
        <v>2916.6666666666665</v>
      </c>
      <c r="X5" s="41">
        <v>2916.6666666666665</v>
      </c>
      <c r="Y5" s="41">
        <v>2916.6666666666665</v>
      </c>
      <c r="Z5" s="41">
        <v>2916.6666666666665</v>
      </c>
      <c r="AA5" s="41">
        <v>2916.6666666666665</v>
      </c>
      <c r="AB5" s="41">
        <v>2916.6666666666665</v>
      </c>
      <c r="AC5" s="41">
        <v>2916.6666666666665</v>
      </c>
      <c r="AD5" s="41">
        <v>2916.6666666666665</v>
      </c>
      <c r="AE5" s="41">
        <f t="shared" si="0"/>
        <v>35000.000000000007</v>
      </c>
    </row>
    <row r="6" spans="1:33" outlineLevel="1">
      <c r="A6" s="245"/>
      <c r="B6" s="246" t="s">
        <v>385</v>
      </c>
      <c r="C6" s="248">
        <v>4100</v>
      </c>
      <c r="D6" s="246" t="s">
        <v>54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96"/>
      <c r="S6" s="41"/>
      <c r="T6" s="41">
        <v>20000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>
        <f t="shared" si="0"/>
        <v>20000</v>
      </c>
    </row>
    <row r="7" spans="1:33" outlineLevel="1">
      <c r="A7" s="245"/>
      <c r="B7" s="246" t="s">
        <v>390</v>
      </c>
      <c r="C7" s="248">
        <v>4100</v>
      </c>
      <c r="D7" s="246" t="s">
        <v>54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96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>
        <f t="shared" si="0"/>
        <v>0</v>
      </c>
    </row>
    <row r="8" spans="1:33" outlineLevel="1">
      <c r="A8" s="245"/>
      <c r="B8" s="313" t="s">
        <v>398</v>
      </c>
      <c r="C8" s="248">
        <v>4100</v>
      </c>
      <c r="D8" s="246" t="s">
        <v>54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96"/>
      <c r="S8" s="353"/>
      <c r="T8" s="353"/>
      <c r="U8" s="353"/>
      <c r="V8" s="353"/>
      <c r="W8" s="353">
        <v>250000</v>
      </c>
      <c r="X8" s="353"/>
      <c r="Y8" s="353"/>
      <c r="Z8" s="353"/>
      <c r="AA8" s="353"/>
      <c r="AB8" s="353"/>
      <c r="AC8" s="353"/>
      <c r="AD8" s="353"/>
      <c r="AE8" s="41">
        <f t="shared" si="0"/>
        <v>250000</v>
      </c>
    </row>
    <row r="9" spans="1:33" outlineLevel="1">
      <c r="A9" s="245"/>
      <c r="B9" s="313" t="s">
        <v>386</v>
      </c>
      <c r="C9" s="248">
        <v>4100</v>
      </c>
      <c r="D9" s="246" t="s">
        <v>54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96"/>
      <c r="S9" s="41"/>
      <c r="T9" s="41"/>
      <c r="U9" s="41">
        <v>60000</v>
      </c>
      <c r="V9" s="41"/>
      <c r="W9" s="41"/>
      <c r="X9" s="41"/>
      <c r="Y9" s="41"/>
      <c r="Z9" s="41"/>
      <c r="AA9" s="41"/>
      <c r="AB9" s="41"/>
      <c r="AC9" s="41"/>
      <c r="AD9" s="41"/>
      <c r="AE9" s="41">
        <f t="shared" si="0"/>
        <v>60000</v>
      </c>
    </row>
    <row r="10" spans="1:33" outlineLevel="1">
      <c r="A10" s="245"/>
      <c r="B10" s="313" t="s">
        <v>387</v>
      </c>
      <c r="C10" s="248">
        <v>4100</v>
      </c>
      <c r="D10" s="246" t="s">
        <v>54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9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>
        <f t="shared" si="0"/>
        <v>0</v>
      </c>
    </row>
    <row r="11" spans="1:33" outlineLevel="1">
      <c r="A11" s="245"/>
      <c r="B11" s="246" t="s">
        <v>389</v>
      </c>
      <c r="C11" s="248">
        <v>2200</v>
      </c>
      <c r="D11" s="246" t="s">
        <v>457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96"/>
      <c r="S11" s="41"/>
      <c r="T11" s="41">
        <v>20000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>
        <f t="shared" si="0"/>
        <v>20000</v>
      </c>
    </row>
    <row r="12" spans="1:33" outlineLevel="1">
      <c r="A12" s="245"/>
      <c r="B12" s="246" t="s">
        <v>388</v>
      </c>
      <c r="C12" s="248">
        <v>4100</v>
      </c>
      <c r="D12" s="246" t="s">
        <v>54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96"/>
      <c r="S12" s="41">
        <v>20000</v>
      </c>
      <c r="T12" s="41">
        <v>20000</v>
      </c>
      <c r="U12" s="41">
        <v>20000</v>
      </c>
      <c r="V12" s="41">
        <v>20000</v>
      </c>
      <c r="W12" s="41">
        <v>20000</v>
      </c>
      <c r="X12" s="41">
        <v>20000</v>
      </c>
      <c r="Y12" s="41">
        <v>20000</v>
      </c>
      <c r="Z12" s="41">
        <v>20000</v>
      </c>
      <c r="AA12" s="41">
        <v>20000</v>
      </c>
      <c r="AB12" s="41">
        <v>20000</v>
      </c>
      <c r="AC12" s="41">
        <v>20000</v>
      </c>
      <c r="AD12" s="41">
        <v>20000</v>
      </c>
      <c r="AE12" s="41">
        <f t="shared" si="0"/>
        <v>240000</v>
      </c>
    </row>
    <row r="13" spans="1:33" outlineLevel="1">
      <c r="A13" s="245"/>
      <c r="B13" s="246" t="s">
        <v>397</v>
      </c>
      <c r="C13" s="248">
        <v>4100</v>
      </c>
      <c r="D13" s="246" t="s">
        <v>54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96"/>
      <c r="S13" s="41"/>
      <c r="T13" s="41"/>
      <c r="U13" s="41"/>
      <c r="V13" s="41"/>
      <c r="W13" s="41">
        <v>60000</v>
      </c>
      <c r="X13" s="41"/>
      <c r="Y13" s="41"/>
      <c r="Z13" s="41"/>
      <c r="AA13" s="41"/>
      <c r="AB13" s="41"/>
      <c r="AC13" s="41"/>
      <c r="AD13" s="41">
        <v>60000</v>
      </c>
      <c r="AE13" s="41">
        <f t="shared" si="0"/>
        <v>120000</v>
      </c>
    </row>
    <row r="14" spans="1:33" s="127" customFormat="1" outlineLevel="1">
      <c r="A14" s="242"/>
      <c r="B14" s="242" t="s">
        <v>241</v>
      </c>
      <c r="C14" s="242"/>
      <c r="D14" s="252"/>
      <c r="E14" s="244">
        <f t="shared" ref="E14:Q14" si="1">SUM(E4:E13)</f>
        <v>0</v>
      </c>
      <c r="F14" s="244">
        <f t="shared" si="1"/>
        <v>0</v>
      </c>
      <c r="G14" s="244">
        <f t="shared" si="1"/>
        <v>0</v>
      </c>
      <c r="H14" s="244">
        <f t="shared" si="1"/>
        <v>0</v>
      </c>
      <c r="I14" s="244">
        <f t="shared" si="1"/>
        <v>0</v>
      </c>
      <c r="J14" s="244">
        <f t="shared" si="1"/>
        <v>0</v>
      </c>
      <c r="K14" s="244">
        <f t="shared" si="1"/>
        <v>0</v>
      </c>
      <c r="L14" s="244">
        <f t="shared" si="1"/>
        <v>0</v>
      </c>
      <c r="M14" s="244">
        <f t="shared" si="1"/>
        <v>0</v>
      </c>
      <c r="N14" s="244">
        <f t="shared" si="1"/>
        <v>0</v>
      </c>
      <c r="O14" s="244">
        <f t="shared" si="1"/>
        <v>0</v>
      </c>
      <c r="P14" s="244">
        <f t="shared" si="1"/>
        <v>0</v>
      </c>
      <c r="Q14" s="244">
        <f t="shared" si="1"/>
        <v>0</v>
      </c>
      <c r="S14" s="244">
        <f t="shared" ref="S14:AE14" si="2">SUM(S4:S13)</f>
        <v>22916.666666666668</v>
      </c>
      <c r="T14" s="244">
        <f t="shared" si="2"/>
        <v>62916.666666666672</v>
      </c>
      <c r="U14" s="244">
        <f t="shared" si="2"/>
        <v>82916.666666666657</v>
      </c>
      <c r="V14" s="244">
        <f t="shared" si="2"/>
        <v>22916.666666666668</v>
      </c>
      <c r="W14" s="244">
        <f t="shared" si="2"/>
        <v>332916.66666666663</v>
      </c>
      <c r="X14" s="244">
        <f t="shared" si="2"/>
        <v>22916.666666666668</v>
      </c>
      <c r="Y14" s="244">
        <f t="shared" si="2"/>
        <v>22916.666666666668</v>
      </c>
      <c r="Z14" s="244">
        <f t="shared" si="2"/>
        <v>22916.666666666668</v>
      </c>
      <c r="AA14" s="244">
        <f t="shared" si="2"/>
        <v>22916.666666666668</v>
      </c>
      <c r="AB14" s="244">
        <f t="shared" si="2"/>
        <v>22916.666666666668</v>
      </c>
      <c r="AC14" s="244">
        <f t="shared" si="2"/>
        <v>22916.666666666668</v>
      </c>
      <c r="AD14" s="244">
        <f t="shared" si="2"/>
        <v>82916.666666666672</v>
      </c>
      <c r="AE14" s="244">
        <f t="shared" si="2"/>
        <v>745000</v>
      </c>
      <c r="AF14" s="489">
        <f>AE14/'PLAN 2018'!AG10</f>
        <v>2.9440903552661459E-2</v>
      </c>
      <c r="AG14" s="490" t="s">
        <v>565</v>
      </c>
    </row>
    <row r="16" spans="1:33"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11</v>
      </c>
      <c r="N16" s="1">
        <v>12</v>
      </c>
      <c r="O16" s="1">
        <v>13</v>
      </c>
      <c r="P16" s="1">
        <v>14</v>
      </c>
      <c r="Q16" s="1">
        <v>15</v>
      </c>
      <c r="R16" s="1">
        <v>16</v>
      </c>
      <c r="S16" s="1">
        <v>17</v>
      </c>
      <c r="T16" s="1">
        <v>18</v>
      </c>
      <c r="U16" s="1">
        <v>19</v>
      </c>
      <c r="V16" s="1">
        <v>20</v>
      </c>
      <c r="W16" s="1">
        <v>21</v>
      </c>
      <c r="X16" s="1">
        <v>22</v>
      </c>
      <c r="Y16" s="1">
        <v>23</v>
      </c>
      <c r="Z16" s="1">
        <v>24</v>
      </c>
      <c r="AA16" s="1">
        <v>25</v>
      </c>
      <c r="AB16" s="1">
        <v>26</v>
      </c>
      <c r="AC16" s="1">
        <v>27</v>
      </c>
      <c r="AD16" s="1">
        <v>28</v>
      </c>
      <c r="AE16" s="1">
        <v>29</v>
      </c>
    </row>
    <row r="17" spans="1:31">
      <c r="C17" s="242" t="s">
        <v>216</v>
      </c>
      <c r="D17" s="253"/>
      <c r="E17" s="114">
        <v>42736</v>
      </c>
      <c r="F17" s="114">
        <v>42767</v>
      </c>
      <c r="G17" s="114">
        <v>42795</v>
      </c>
      <c r="H17" s="114">
        <v>42826</v>
      </c>
      <c r="I17" s="114">
        <v>42856</v>
      </c>
      <c r="J17" s="114">
        <v>42887</v>
      </c>
      <c r="K17" s="114">
        <v>42917</v>
      </c>
      <c r="L17" s="114">
        <v>42948</v>
      </c>
      <c r="M17" s="114">
        <v>42979</v>
      </c>
      <c r="N17" s="91">
        <v>43009</v>
      </c>
      <c r="O17" s="91">
        <v>43040</v>
      </c>
      <c r="P17" s="91">
        <v>43070</v>
      </c>
      <c r="Q17" s="112">
        <v>2017</v>
      </c>
      <c r="S17" s="89">
        <v>43101</v>
      </c>
      <c r="T17" s="89">
        <v>43132</v>
      </c>
      <c r="U17" s="89">
        <v>43160</v>
      </c>
      <c r="V17" s="89">
        <v>43191</v>
      </c>
      <c r="W17" s="89">
        <v>43221</v>
      </c>
      <c r="X17" s="89">
        <v>43252</v>
      </c>
      <c r="Y17" s="89">
        <v>43282</v>
      </c>
      <c r="Z17" s="89">
        <v>43313</v>
      </c>
      <c r="AA17" s="89">
        <v>43344</v>
      </c>
      <c r="AB17" s="89">
        <v>43374</v>
      </c>
      <c r="AC17" s="89">
        <v>43405</v>
      </c>
      <c r="AD17" s="89">
        <v>43435</v>
      </c>
      <c r="AE17" s="113">
        <v>2018</v>
      </c>
    </row>
    <row r="18" spans="1:31">
      <c r="C18" s="248">
        <v>1100</v>
      </c>
      <c r="D18" s="246" t="s">
        <v>149</v>
      </c>
      <c r="E18" s="41">
        <f t="shared" ref="E18:Q29" si="3">SUMIF($C$1:$C$14,$C18,E$1:E$14)</f>
        <v>0</v>
      </c>
      <c r="F18" s="41">
        <f t="shared" si="3"/>
        <v>0</v>
      </c>
      <c r="G18" s="41">
        <f t="shared" si="3"/>
        <v>0</v>
      </c>
      <c r="H18" s="41">
        <f t="shared" si="3"/>
        <v>0</v>
      </c>
      <c r="I18" s="41">
        <f t="shared" si="3"/>
        <v>0</v>
      </c>
      <c r="J18" s="41">
        <f t="shared" si="3"/>
        <v>0</v>
      </c>
      <c r="K18" s="41">
        <f t="shared" si="3"/>
        <v>0</v>
      </c>
      <c r="L18" s="41">
        <f t="shared" si="3"/>
        <v>0</v>
      </c>
      <c r="M18" s="41">
        <f t="shared" si="3"/>
        <v>0</v>
      </c>
      <c r="N18" s="41">
        <f t="shared" si="3"/>
        <v>0</v>
      </c>
      <c r="O18" s="41">
        <f t="shared" si="3"/>
        <v>0</v>
      </c>
      <c r="P18" s="41">
        <f t="shared" si="3"/>
        <v>0</v>
      </c>
      <c r="Q18" s="41">
        <f t="shared" si="3"/>
        <v>0</v>
      </c>
      <c r="S18" s="41">
        <f t="shared" ref="S18:AE29" si="4">SUMIF($C$1:$C$14,$C18,S$1:S$14)</f>
        <v>0</v>
      </c>
      <c r="T18" s="41">
        <f t="shared" si="4"/>
        <v>0</v>
      </c>
      <c r="U18" s="41">
        <f t="shared" si="4"/>
        <v>0</v>
      </c>
      <c r="V18" s="41">
        <f t="shared" si="4"/>
        <v>0</v>
      </c>
      <c r="W18" s="41">
        <f t="shared" si="4"/>
        <v>0</v>
      </c>
      <c r="X18" s="41">
        <f t="shared" si="4"/>
        <v>0</v>
      </c>
      <c r="Y18" s="41">
        <f t="shared" si="4"/>
        <v>0</v>
      </c>
      <c r="Z18" s="41">
        <f t="shared" si="4"/>
        <v>0</v>
      </c>
      <c r="AA18" s="41">
        <f t="shared" si="4"/>
        <v>0</v>
      </c>
      <c r="AB18" s="41">
        <f t="shared" si="4"/>
        <v>0</v>
      </c>
      <c r="AC18" s="41">
        <f t="shared" si="4"/>
        <v>0</v>
      </c>
      <c r="AD18" s="41">
        <f t="shared" si="4"/>
        <v>0</v>
      </c>
      <c r="AE18" s="41">
        <f t="shared" si="4"/>
        <v>0</v>
      </c>
    </row>
    <row r="19" spans="1:31">
      <c r="C19" s="248">
        <v>1200</v>
      </c>
      <c r="D19" s="246" t="s">
        <v>75</v>
      </c>
      <c r="E19" s="41">
        <f t="shared" si="3"/>
        <v>0</v>
      </c>
      <c r="F19" s="41">
        <f t="shared" si="3"/>
        <v>0</v>
      </c>
      <c r="G19" s="41">
        <f t="shared" si="3"/>
        <v>0</v>
      </c>
      <c r="H19" s="41">
        <f t="shared" si="3"/>
        <v>0</v>
      </c>
      <c r="I19" s="41">
        <f t="shared" si="3"/>
        <v>0</v>
      </c>
      <c r="J19" s="41">
        <f t="shared" si="3"/>
        <v>0</v>
      </c>
      <c r="K19" s="41">
        <f t="shared" si="3"/>
        <v>0</v>
      </c>
      <c r="L19" s="41">
        <f t="shared" si="3"/>
        <v>0</v>
      </c>
      <c r="M19" s="41">
        <f t="shared" si="3"/>
        <v>0</v>
      </c>
      <c r="N19" s="41">
        <f t="shared" si="3"/>
        <v>0</v>
      </c>
      <c r="O19" s="41">
        <f t="shared" si="3"/>
        <v>0</v>
      </c>
      <c r="P19" s="41">
        <f t="shared" si="3"/>
        <v>0</v>
      </c>
      <c r="Q19" s="41">
        <f t="shared" si="3"/>
        <v>0</v>
      </c>
      <c r="S19" s="41">
        <f t="shared" si="4"/>
        <v>0</v>
      </c>
      <c r="T19" s="41">
        <f t="shared" si="4"/>
        <v>0</v>
      </c>
      <c r="U19" s="41">
        <f t="shared" si="4"/>
        <v>0</v>
      </c>
      <c r="V19" s="41">
        <f t="shared" si="4"/>
        <v>0</v>
      </c>
      <c r="W19" s="41">
        <f t="shared" si="4"/>
        <v>0</v>
      </c>
      <c r="X19" s="41">
        <f t="shared" si="4"/>
        <v>0</v>
      </c>
      <c r="Y19" s="41">
        <f t="shared" si="4"/>
        <v>0</v>
      </c>
      <c r="Z19" s="41">
        <f t="shared" si="4"/>
        <v>0</v>
      </c>
      <c r="AA19" s="41">
        <f t="shared" si="4"/>
        <v>0</v>
      </c>
      <c r="AB19" s="41">
        <f t="shared" si="4"/>
        <v>0</v>
      </c>
      <c r="AC19" s="41">
        <f t="shared" si="4"/>
        <v>0</v>
      </c>
      <c r="AD19" s="41">
        <f t="shared" si="4"/>
        <v>0</v>
      </c>
      <c r="AE19" s="41">
        <f t="shared" si="4"/>
        <v>0</v>
      </c>
    </row>
    <row r="20" spans="1:31">
      <c r="C20" s="248">
        <v>2200</v>
      </c>
      <c r="D20" s="246" t="s">
        <v>457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  <c r="I20" s="41">
        <f t="shared" si="3"/>
        <v>0</v>
      </c>
      <c r="J20" s="41">
        <f t="shared" si="3"/>
        <v>0</v>
      </c>
      <c r="K20" s="41">
        <f t="shared" si="3"/>
        <v>0</v>
      </c>
      <c r="L20" s="41">
        <f t="shared" si="3"/>
        <v>0</v>
      </c>
      <c r="M20" s="41">
        <f t="shared" si="3"/>
        <v>0</v>
      </c>
      <c r="N20" s="41">
        <f t="shared" si="3"/>
        <v>0</v>
      </c>
      <c r="O20" s="41">
        <f t="shared" si="3"/>
        <v>0</v>
      </c>
      <c r="P20" s="41">
        <f t="shared" si="3"/>
        <v>0</v>
      </c>
      <c r="Q20" s="41">
        <f t="shared" si="3"/>
        <v>0</v>
      </c>
      <c r="S20" s="41">
        <f t="shared" si="4"/>
        <v>0</v>
      </c>
      <c r="T20" s="41">
        <f t="shared" si="4"/>
        <v>20000</v>
      </c>
      <c r="U20" s="41">
        <f t="shared" si="4"/>
        <v>0</v>
      </c>
      <c r="V20" s="41">
        <f t="shared" si="4"/>
        <v>0</v>
      </c>
      <c r="W20" s="41">
        <f t="shared" si="4"/>
        <v>0</v>
      </c>
      <c r="X20" s="41">
        <f t="shared" si="4"/>
        <v>0</v>
      </c>
      <c r="Y20" s="41">
        <f t="shared" si="4"/>
        <v>0</v>
      </c>
      <c r="Z20" s="41">
        <f t="shared" si="4"/>
        <v>0</v>
      </c>
      <c r="AA20" s="41">
        <f t="shared" si="4"/>
        <v>0</v>
      </c>
      <c r="AB20" s="41">
        <f t="shared" si="4"/>
        <v>0</v>
      </c>
      <c r="AC20" s="41">
        <f t="shared" si="4"/>
        <v>0</v>
      </c>
      <c r="AD20" s="41">
        <f t="shared" si="4"/>
        <v>0</v>
      </c>
      <c r="AE20" s="41">
        <f t="shared" si="4"/>
        <v>20000</v>
      </c>
    </row>
    <row r="21" spans="1:31">
      <c r="C21" s="248">
        <v>3100</v>
      </c>
      <c r="D21" s="246" t="s">
        <v>63</v>
      </c>
      <c r="E21" s="41">
        <f t="shared" si="3"/>
        <v>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41">
        <f t="shared" si="3"/>
        <v>0</v>
      </c>
      <c r="J21" s="41">
        <f t="shared" si="3"/>
        <v>0</v>
      </c>
      <c r="K21" s="41">
        <f t="shared" si="3"/>
        <v>0</v>
      </c>
      <c r="L21" s="41">
        <f t="shared" si="3"/>
        <v>0</v>
      </c>
      <c r="M21" s="41">
        <f t="shared" si="3"/>
        <v>0</v>
      </c>
      <c r="N21" s="41">
        <f t="shared" si="3"/>
        <v>0</v>
      </c>
      <c r="O21" s="41">
        <f t="shared" si="3"/>
        <v>0</v>
      </c>
      <c r="P21" s="41">
        <f t="shared" si="3"/>
        <v>0</v>
      </c>
      <c r="Q21" s="41">
        <f t="shared" si="3"/>
        <v>0</v>
      </c>
      <c r="S21" s="41">
        <f t="shared" si="4"/>
        <v>0</v>
      </c>
      <c r="T21" s="41">
        <f t="shared" si="4"/>
        <v>0</v>
      </c>
      <c r="U21" s="41">
        <f t="shared" si="4"/>
        <v>0</v>
      </c>
      <c r="V21" s="41">
        <f t="shared" si="4"/>
        <v>0</v>
      </c>
      <c r="W21" s="41">
        <f t="shared" si="4"/>
        <v>0</v>
      </c>
      <c r="X21" s="41">
        <f t="shared" si="4"/>
        <v>0</v>
      </c>
      <c r="Y21" s="41">
        <f t="shared" si="4"/>
        <v>0</v>
      </c>
      <c r="Z21" s="41">
        <f t="shared" si="4"/>
        <v>0</v>
      </c>
      <c r="AA21" s="41">
        <f t="shared" si="4"/>
        <v>0</v>
      </c>
      <c r="AB21" s="41">
        <f t="shared" si="4"/>
        <v>0</v>
      </c>
      <c r="AC21" s="41">
        <f t="shared" si="4"/>
        <v>0</v>
      </c>
      <c r="AD21" s="41">
        <f t="shared" si="4"/>
        <v>0</v>
      </c>
      <c r="AE21" s="41">
        <f t="shared" si="4"/>
        <v>0</v>
      </c>
    </row>
    <row r="22" spans="1:31">
      <c r="C22" s="248">
        <v>4100</v>
      </c>
      <c r="D22" s="246" t="s">
        <v>54</v>
      </c>
      <c r="E22" s="41">
        <f t="shared" si="3"/>
        <v>0</v>
      </c>
      <c r="F22" s="41">
        <f t="shared" si="3"/>
        <v>0</v>
      </c>
      <c r="G22" s="41">
        <f t="shared" si="3"/>
        <v>0</v>
      </c>
      <c r="H22" s="41">
        <f t="shared" si="3"/>
        <v>0</v>
      </c>
      <c r="I22" s="41">
        <f t="shared" si="3"/>
        <v>0</v>
      </c>
      <c r="J22" s="41">
        <f t="shared" si="3"/>
        <v>0</v>
      </c>
      <c r="K22" s="41">
        <f t="shared" si="3"/>
        <v>0</v>
      </c>
      <c r="L22" s="41">
        <f t="shared" si="3"/>
        <v>0</v>
      </c>
      <c r="M22" s="41">
        <f t="shared" si="3"/>
        <v>0</v>
      </c>
      <c r="N22" s="41">
        <f t="shared" si="3"/>
        <v>0</v>
      </c>
      <c r="O22" s="41">
        <f t="shared" si="3"/>
        <v>0</v>
      </c>
      <c r="P22" s="41">
        <f t="shared" si="3"/>
        <v>0</v>
      </c>
      <c r="Q22" s="41">
        <f t="shared" si="3"/>
        <v>0</v>
      </c>
      <c r="S22" s="41">
        <f t="shared" si="4"/>
        <v>22916.666666666668</v>
      </c>
      <c r="T22" s="41">
        <f t="shared" si="4"/>
        <v>42916.666666666672</v>
      </c>
      <c r="U22" s="41">
        <f t="shared" si="4"/>
        <v>82916.666666666657</v>
      </c>
      <c r="V22" s="41">
        <f t="shared" si="4"/>
        <v>22916.666666666668</v>
      </c>
      <c r="W22" s="41">
        <f t="shared" si="4"/>
        <v>332916.66666666663</v>
      </c>
      <c r="X22" s="41">
        <f t="shared" si="4"/>
        <v>22916.666666666668</v>
      </c>
      <c r="Y22" s="41">
        <f t="shared" si="4"/>
        <v>22916.666666666668</v>
      </c>
      <c r="Z22" s="41">
        <f t="shared" si="4"/>
        <v>22916.666666666668</v>
      </c>
      <c r="AA22" s="41">
        <f t="shared" si="4"/>
        <v>22916.666666666668</v>
      </c>
      <c r="AB22" s="41">
        <f t="shared" si="4"/>
        <v>22916.666666666668</v>
      </c>
      <c r="AC22" s="41">
        <f t="shared" si="4"/>
        <v>22916.666666666668</v>
      </c>
      <c r="AD22" s="41">
        <f t="shared" si="4"/>
        <v>82916.666666666672</v>
      </c>
      <c r="AE22" s="41">
        <f t="shared" si="4"/>
        <v>725000</v>
      </c>
    </row>
    <row r="23" spans="1:31">
      <c r="C23" s="248">
        <v>5100</v>
      </c>
      <c r="D23" s="246" t="s">
        <v>64</v>
      </c>
      <c r="E23" s="41">
        <f t="shared" si="3"/>
        <v>0</v>
      </c>
      <c r="F23" s="41">
        <f t="shared" si="3"/>
        <v>0</v>
      </c>
      <c r="G23" s="41">
        <f t="shared" si="3"/>
        <v>0</v>
      </c>
      <c r="H23" s="41">
        <f t="shared" si="3"/>
        <v>0</v>
      </c>
      <c r="I23" s="41">
        <f t="shared" si="3"/>
        <v>0</v>
      </c>
      <c r="J23" s="41">
        <f t="shared" si="3"/>
        <v>0</v>
      </c>
      <c r="K23" s="41">
        <f t="shared" si="3"/>
        <v>0</v>
      </c>
      <c r="L23" s="41">
        <f t="shared" si="3"/>
        <v>0</v>
      </c>
      <c r="M23" s="41">
        <f t="shared" si="3"/>
        <v>0</v>
      </c>
      <c r="N23" s="41">
        <f t="shared" si="3"/>
        <v>0</v>
      </c>
      <c r="O23" s="41">
        <f t="shared" si="3"/>
        <v>0</v>
      </c>
      <c r="P23" s="41">
        <f t="shared" si="3"/>
        <v>0</v>
      </c>
      <c r="Q23" s="41">
        <f t="shared" si="3"/>
        <v>0</v>
      </c>
      <c r="S23" s="41">
        <f t="shared" si="4"/>
        <v>0</v>
      </c>
      <c r="T23" s="41">
        <f t="shared" si="4"/>
        <v>0</v>
      </c>
      <c r="U23" s="41">
        <f t="shared" si="4"/>
        <v>0</v>
      </c>
      <c r="V23" s="41">
        <f t="shared" si="4"/>
        <v>0</v>
      </c>
      <c r="W23" s="41">
        <f t="shared" si="4"/>
        <v>0</v>
      </c>
      <c r="X23" s="41">
        <f t="shared" si="4"/>
        <v>0</v>
      </c>
      <c r="Y23" s="41">
        <f t="shared" si="4"/>
        <v>0</v>
      </c>
      <c r="Z23" s="41">
        <f t="shared" si="4"/>
        <v>0</v>
      </c>
      <c r="AA23" s="41">
        <f t="shared" si="4"/>
        <v>0</v>
      </c>
      <c r="AB23" s="41">
        <f t="shared" si="4"/>
        <v>0</v>
      </c>
      <c r="AC23" s="41">
        <f t="shared" si="4"/>
        <v>0</v>
      </c>
      <c r="AD23" s="41">
        <f t="shared" si="4"/>
        <v>0</v>
      </c>
      <c r="AE23" s="41">
        <f t="shared" si="4"/>
        <v>0</v>
      </c>
    </row>
    <row r="24" spans="1:31">
      <c r="C24" s="248">
        <v>6100</v>
      </c>
      <c r="D24" s="246" t="s">
        <v>65</v>
      </c>
      <c r="E24" s="41">
        <f t="shared" si="3"/>
        <v>0</v>
      </c>
      <c r="F24" s="41">
        <f t="shared" si="3"/>
        <v>0</v>
      </c>
      <c r="G24" s="41">
        <f t="shared" si="3"/>
        <v>0</v>
      </c>
      <c r="H24" s="41">
        <f t="shared" si="3"/>
        <v>0</v>
      </c>
      <c r="I24" s="41">
        <f t="shared" si="3"/>
        <v>0</v>
      </c>
      <c r="J24" s="41">
        <f t="shared" si="3"/>
        <v>0</v>
      </c>
      <c r="K24" s="41">
        <f t="shared" si="3"/>
        <v>0</v>
      </c>
      <c r="L24" s="41">
        <f t="shared" si="3"/>
        <v>0</v>
      </c>
      <c r="M24" s="41">
        <f t="shared" si="3"/>
        <v>0</v>
      </c>
      <c r="N24" s="41">
        <f t="shared" si="3"/>
        <v>0</v>
      </c>
      <c r="O24" s="41">
        <f t="shared" si="3"/>
        <v>0</v>
      </c>
      <c r="P24" s="41">
        <f t="shared" si="3"/>
        <v>0</v>
      </c>
      <c r="Q24" s="41">
        <f t="shared" si="3"/>
        <v>0</v>
      </c>
      <c r="S24" s="41">
        <f t="shared" si="4"/>
        <v>0</v>
      </c>
      <c r="T24" s="41">
        <f t="shared" si="4"/>
        <v>0</v>
      </c>
      <c r="U24" s="41">
        <f t="shared" si="4"/>
        <v>0</v>
      </c>
      <c r="V24" s="41">
        <f t="shared" si="4"/>
        <v>0</v>
      </c>
      <c r="W24" s="41">
        <f t="shared" si="4"/>
        <v>0</v>
      </c>
      <c r="X24" s="41">
        <f t="shared" si="4"/>
        <v>0</v>
      </c>
      <c r="Y24" s="41">
        <f t="shared" si="4"/>
        <v>0</v>
      </c>
      <c r="Z24" s="41">
        <f t="shared" si="4"/>
        <v>0</v>
      </c>
      <c r="AA24" s="41">
        <f t="shared" si="4"/>
        <v>0</v>
      </c>
      <c r="AB24" s="41">
        <f t="shared" si="4"/>
        <v>0</v>
      </c>
      <c r="AC24" s="41">
        <f t="shared" si="4"/>
        <v>0</v>
      </c>
      <c r="AD24" s="41">
        <f t="shared" si="4"/>
        <v>0</v>
      </c>
      <c r="AE24" s="41">
        <f t="shared" si="4"/>
        <v>0</v>
      </c>
    </row>
    <row r="25" spans="1:31">
      <c r="C25" s="248">
        <v>6800</v>
      </c>
      <c r="D25" s="246" t="s">
        <v>135</v>
      </c>
      <c r="E25" s="41">
        <f t="shared" si="3"/>
        <v>0</v>
      </c>
      <c r="F25" s="41">
        <f t="shared" si="3"/>
        <v>0</v>
      </c>
      <c r="G25" s="41">
        <f t="shared" si="3"/>
        <v>0</v>
      </c>
      <c r="H25" s="41">
        <f t="shared" si="3"/>
        <v>0</v>
      </c>
      <c r="I25" s="41">
        <f t="shared" si="3"/>
        <v>0</v>
      </c>
      <c r="J25" s="41">
        <f t="shared" si="3"/>
        <v>0</v>
      </c>
      <c r="K25" s="41">
        <f t="shared" si="3"/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1">
        <f t="shared" si="3"/>
        <v>0</v>
      </c>
      <c r="P25" s="41">
        <f t="shared" si="3"/>
        <v>0</v>
      </c>
      <c r="Q25" s="41">
        <f t="shared" si="3"/>
        <v>0</v>
      </c>
      <c r="S25" s="41">
        <f t="shared" si="4"/>
        <v>0</v>
      </c>
      <c r="T25" s="41">
        <f t="shared" si="4"/>
        <v>0</v>
      </c>
      <c r="U25" s="41">
        <f t="shared" si="4"/>
        <v>0</v>
      </c>
      <c r="V25" s="41">
        <f t="shared" si="4"/>
        <v>0</v>
      </c>
      <c r="W25" s="41">
        <f t="shared" si="4"/>
        <v>0</v>
      </c>
      <c r="X25" s="41">
        <f t="shared" si="4"/>
        <v>0</v>
      </c>
      <c r="Y25" s="41">
        <f t="shared" si="4"/>
        <v>0</v>
      </c>
      <c r="Z25" s="41">
        <f t="shared" si="4"/>
        <v>0</v>
      </c>
      <c r="AA25" s="41">
        <f t="shared" si="4"/>
        <v>0</v>
      </c>
      <c r="AB25" s="41">
        <f t="shared" si="4"/>
        <v>0</v>
      </c>
      <c r="AC25" s="41">
        <f t="shared" si="4"/>
        <v>0</v>
      </c>
      <c r="AD25" s="41">
        <f t="shared" si="4"/>
        <v>0</v>
      </c>
      <c r="AE25" s="41">
        <f t="shared" si="4"/>
        <v>0</v>
      </c>
    </row>
    <row r="26" spans="1:31">
      <c r="C26" s="248">
        <v>7200</v>
      </c>
      <c r="D26" s="246" t="s">
        <v>209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1">
        <f t="shared" si="3"/>
        <v>0</v>
      </c>
      <c r="S26" s="41">
        <f t="shared" si="4"/>
        <v>0</v>
      </c>
      <c r="T26" s="41">
        <f t="shared" si="4"/>
        <v>0</v>
      </c>
      <c r="U26" s="41">
        <f t="shared" si="4"/>
        <v>0</v>
      </c>
      <c r="V26" s="41">
        <f t="shared" si="4"/>
        <v>0</v>
      </c>
      <c r="W26" s="41">
        <f t="shared" si="4"/>
        <v>0</v>
      </c>
      <c r="X26" s="41">
        <f t="shared" si="4"/>
        <v>0</v>
      </c>
      <c r="Y26" s="41">
        <f t="shared" si="4"/>
        <v>0</v>
      </c>
      <c r="Z26" s="41">
        <f t="shared" si="4"/>
        <v>0</v>
      </c>
      <c r="AA26" s="41">
        <f t="shared" si="4"/>
        <v>0</v>
      </c>
      <c r="AB26" s="41">
        <f t="shared" si="4"/>
        <v>0</v>
      </c>
      <c r="AC26" s="41">
        <f t="shared" si="4"/>
        <v>0</v>
      </c>
      <c r="AD26" s="41">
        <f t="shared" si="4"/>
        <v>0</v>
      </c>
      <c r="AE26" s="41">
        <f t="shared" si="4"/>
        <v>0</v>
      </c>
    </row>
    <row r="27" spans="1:31">
      <c r="C27" s="248">
        <v>7300</v>
      </c>
      <c r="D27" s="246" t="s">
        <v>70</v>
      </c>
      <c r="E27" s="41">
        <f t="shared" si="3"/>
        <v>0</v>
      </c>
      <c r="F27" s="41">
        <f t="shared" si="3"/>
        <v>0</v>
      </c>
      <c r="G27" s="41">
        <f t="shared" si="3"/>
        <v>0</v>
      </c>
      <c r="H27" s="41">
        <f t="shared" si="3"/>
        <v>0</v>
      </c>
      <c r="I27" s="41">
        <f t="shared" si="3"/>
        <v>0</v>
      </c>
      <c r="J27" s="41">
        <f t="shared" si="3"/>
        <v>0</v>
      </c>
      <c r="K27" s="41">
        <f t="shared" si="3"/>
        <v>0</v>
      </c>
      <c r="L27" s="41">
        <f t="shared" si="3"/>
        <v>0</v>
      </c>
      <c r="M27" s="41">
        <f t="shared" si="3"/>
        <v>0</v>
      </c>
      <c r="N27" s="41">
        <f t="shared" si="3"/>
        <v>0</v>
      </c>
      <c r="O27" s="41">
        <f t="shared" si="3"/>
        <v>0</v>
      </c>
      <c r="P27" s="41">
        <f t="shared" si="3"/>
        <v>0</v>
      </c>
      <c r="Q27" s="41">
        <f t="shared" si="3"/>
        <v>0</v>
      </c>
      <c r="S27" s="41">
        <f t="shared" si="4"/>
        <v>0</v>
      </c>
      <c r="T27" s="41">
        <f t="shared" si="4"/>
        <v>0</v>
      </c>
      <c r="U27" s="41">
        <f t="shared" si="4"/>
        <v>0</v>
      </c>
      <c r="V27" s="41">
        <f t="shared" si="4"/>
        <v>0</v>
      </c>
      <c r="W27" s="41">
        <f t="shared" si="4"/>
        <v>0</v>
      </c>
      <c r="X27" s="41">
        <f t="shared" si="4"/>
        <v>0</v>
      </c>
      <c r="Y27" s="41">
        <f t="shared" si="4"/>
        <v>0</v>
      </c>
      <c r="Z27" s="41">
        <f t="shared" si="4"/>
        <v>0</v>
      </c>
      <c r="AA27" s="41">
        <f t="shared" si="4"/>
        <v>0</v>
      </c>
      <c r="AB27" s="41">
        <f t="shared" si="4"/>
        <v>0</v>
      </c>
      <c r="AC27" s="41">
        <f t="shared" si="4"/>
        <v>0</v>
      </c>
      <c r="AD27" s="41">
        <f t="shared" si="4"/>
        <v>0</v>
      </c>
      <c r="AE27" s="41">
        <f t="shared" si="4"/>
        <v>0</v>
      </c>
    </row>
    <row r="28" spans="1:31">
      <c r="C28" s="248">
        <v>8200</v>
      </c>
      <c r="D28" s="246" t="s">
        <v>72</v>
      </c>
      <c r="E28" s="41">
        <f t="shared" si="3"/>
        <v>0</v>
      </c>
      <c r="F28" s="41">
        <f t="shared" si="3"/>
        <v>0</v>
      </c>
      <c r="G28" s="41">
        <f t="shared" si="3"/>
        <v>0</v>
      </c>
      <c r="H28" s="41">
        <f t="shared" si="3"/>
        <v>0</v>
      </c>
      <c r="I28" s="41">
        <f t="shared" si="3"/>
        <v>0</v>
      </c>
      <c r="J28" s="41">
        <f t="shared" si="3"/>
        <v>0</v>
      </c>
      <c r="K28" s="41">
        <f t="shared" si="3"/>
        <v>0</v>
      </c>
      <c r="L28" s="41">
        <f t="shared" si="3"/>
        <v>0</v>
      </c>
      <c r="M28" s="41">
        <f t="shared" si="3"/>
        <v>0</v>
      </c>
      <c r="N28" s="41">
        <f t="shared" si="3"/>
        <v>0</v>
      </c>
      <c r="O28" s="41">
        <f t="shared" si="3"/>
        <v>0</v>
      </c>
      <c r="P28" s="41">
        <f t="shared" si="3"/>
        <v>0</v>
      </c>
      <c r="Q28" s="41">
        <f t="shared" si="3"/>
        <v>0</v>
      </c>
      <c r="S28" s="41">
        <f t="shared" si="4"/>
        <v>0</v>
      </c>
      <c r="T28" s="41">
        <f t="shared" si="4"/>
        <v>0</v>
      </c>
      <c r="U28" s="41">
        <f t="shared" si="4"/>
        <v>0</v>
      </c>
      <c r="V28" s="41">
        <f t="shared" si="4"/>
        <v>0</v>
      </c>
      <c r="W28" s="41">
        <f t="shared" si="4"/>
        <v>0</v>
      </c>
      <c r="X28" s="41">
        <f t="shared" si="4"/>
        <v>0</v>
      </c>
      <c r="Y28" s="41">
        <f t="shared" si="4"/>
        <v>0</v>
      </c>
      <c r="Z28" s="41">
        <f t="shared" si="4"/>
        <v>0</v>
      </c>
      <c r="AA28" s="41">
        <f t="shared" si="4"/>
        <v>0</v>
      </c>
      <c r="AB28" s="41">
        <f t="shared" si="4"/>
        <v>0</v>
      </c>
      <c r="AC28" s="41">
        <f t="shared" si="4"/>
        <v>0</v>
      </c>
      <c r="AD28" s="41">
        <f t="shared" si="4"/>
        <v>0</v>
      </c>
      <c r="AE28" s="41">
        <f t="shared" si="4"/>
        <v>0</v>
      </c>
    </row>
    <row r="29" spans="1:31">
      <c r="C29" s="248">
        <v>8300</v>
      </c>
      <c r="D29" s="246" t="s">
        <v>73</v>
      </c>
      <c r="E29" s="41">
        <f t="shared" si="3"/>
        <v>0</v>
      </c>
      <c r="F29" s="41">
        <f t="shared" si="3"/>
        <v>0</v>
      </c>
      <c r="G29" s="41">
        <f t="shared" si="3"/>
        <v>0</v>
      </c>
      <c r="H29" s="41">
        <f t="shared" si="3"/>
        <v>0</v>
      </c>
      <c r="I29" s="41">
        <f t="shared" si="3"/>
        <v>0</v>
      </c>
      <c r="J29" s="41">
        <f t="shared" si="3"/>
        <v>0</v>
      </c>
      <c r="K29" s="41">
        <f t="shared" si="3"/>
        <v>0</v>
      </c>
      <c r="L29" s="41">
        <f t="shared" si="3"/>
        <v>0</v>
      </c>
      <c r="M29" s="41">
        <f t="shared" si="3"/>
        <v>0</v>
      </c>
      <c r="N29" s="41">
        <f t="shared" si="3"/>
        <v>0</v>
      </c>
      <c r="O29" s="41">
        <f t="shared" si="3"/>
        <v>0</v>
      </c>
      <c r="P29" s="41">
        <f t="shared" si="3"/>
        <v>0</v>
      </c>
      <c r="Q29" s="41">
        <f t="shared" si="3"/>
        <v>0</v>
      </c>
      <c r="S29" s="41">
        <f t="shared" si="4"/>
        <v>0</v>
      </c>
      <c r="T29" s="41">
        <f t="shared" si="4"/>
        <v>0</v>
      </c>
      <c r="U29" s="41">
        <f t="shared" si="4"/>
        <v>0</v>
      </c>
      <c r="V29" s="41">
        <f t="shared" si="4"/>
        <v>0</v>
      </c>
      <c r="W29" s="41">
        <f t="shared" si="4"/>
        <v>0</v>
      </c>
      <c r="X29" s="41">
        <f t="shared" si="4"/>
        <v>0</v>
      </c>
      <c r="Y29" s="41">
        <f t="shared" si="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4"/>
        <v>0</v>
      </c>
      <c r="AD29" s="41">
        <f t="shared" si="4"/>
        <v>0</v>
      </c>
      <c r="AE29" s="41">
        <f t="shared" si="4"/>
        <v>0</v>
      </c>
    </row>
    <row r="30" spans="1:31" s="127" customFormat="1">
      <c r="A30" s="242"/>
      <c r="B30" s="242"/>
      <c r="C30" s="242"/>
      <c r="D30" s="252" t="s">
        <v>178</v>
      </c>
      <c r="E30" s="244">
        <f t="shared" ref="E30:Q30" si="5">SUM(E18:E29)</f>
        <v>0</v>
      </c>
      <c r="F30" s="244">
        <f t="shared" si="5"/>
        <v>0</v>
      </c>
      <c r="G30" s="244">
        <f t="shared" si="5"/>
        <v>0</v>
      </c>
      <c r="H30" s="244">
        <f t="shared" si="5"/>
        <v>0</v>
      </c>
      <c r="I30" s="244">
        <f t="shared" si="5"/>
        <v>0</v>
      </c>
      <c r="J30" s="244">
        <f t="shared" si="5"/>
        <v>0</v>
      </c>
      <c r="K30" s="244">
        <f t="shared" si="5"/>
        <v>0</v>
      </c>
      <c r="L30" s="244">
        <f t="shared" si="5"/>
        <v>0</v>
      </c>
      <c r="M30" s="244">
        <f t="shared" si="5"/>
        <v>0</v>
      </c>
      <c r="N30" s="244">
        <f t="shared" si="5"/>
        <v>0</v>
      </c>
      <c r="O30" s="244">
        <f t="shared" si="5"/>
        <v>0</v>
      </c>
      <c r="P30" s="244">
        <f t="shared" si="5"/>
        <v>0</v>
      </c>
      <c r="Q30" s="244">
        <f t="shared" si="5"/>
        <v>0</v>
      </c>
      <c r="S30" s="244">
        <f t="shared" ref="S30:AE30" si="6">SUM(S18:S29)</f>
        <v>22916.666666666668</v>
      </c>
      <c r="T30" s="244">
        <f t="shared" si="6"/>
        <v>62916.666666666672</v>
      </c>
      <c r="U30" s="244">
        <f t="shared" si="6"/>
        <v>82916.666666666657</v>
      </c>
      <c r="V30" s="244">
        <f t="shared" si="6"/>
        <v>22916.666666666668</v>
      </c>
      <c r="W30" s="244">
        <f t="shared" si="6"/>
        <v>332916.66666666663</v>
      </c>
      <c r="X30" s="244">
        <f t="shared" si="6"/>
        <v>22916.666666666668</v>
      </c>
      <c r="Y30" s="244">
        <f t="shared" si="6"/>
        <v>22916.666666666668</v>
      </c>
      <c r="Z30" s="244">
        <f t="shared" si="6"/>
        <v>22916.666666666668</v>
      </c>
      <c r="AA30" s="244">
        <f t="shared" si="6"/>
        <v>22916.666666666668</v>
      </c>
      <c r="AB30" s="244">
        <f t="shared" si="6"/>
        <v>22916.666666666668</v>
      </c>
      <c r="AC30" s="244">
        <f t="shared" si="6"/>
        <v>22916.666666666668</v>
      </c>
      <c r="AD30" s="244">
        <f t="shared" si="6"/>
        <v>82916.666666666672</v>
      </c>
      <c r="AE30" s="244">
        <f t="shared" si="6"/>
        <v>745000</v>
      </c>
    </row>
  </sheetData>
  <pageMargins left="0.94488188976377963" right="0.74803149606299213" top="0.98425196850393704" bottom="0.98425196850393704" header="0.51181102362204722" footer="0.51181102362204722"/>
  <pageSetup paperSize="9" scale="5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pane xSplit="2" ySplit="2" topLeftCell="D3" activePane="bottomRight" state="frozen"/>
      <selection activeCell="BM36" sqref="BM36"/>
      <selection pane="topRight" activeCell="BM36" sqref="BM36"/>
      <selection pane="bottomLeft" activeCell="BM36" sqref="BM36"/>
      <selection pane="bottomRight" activeCell="BM36" sqref="BM36"/>
    </sheetView>
  </sheetViews>
  <sheetFormatPr defaultColWidth="11.42578125" defaultRowHeight="12.75"/>
  <sheetData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T5" activePane="bottomRight" state="frozen"/>
      <selection activeCell="W50" sqref="W50"/>
      <selection pane="topRight" activeCell="W50" sqref="W50"/>
      <selection pane="bottomLeft" activeCell="W50" sqref="W50"/>
      <selection pane="bottomRight" activeCell="B57" sqref="B57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2.42578125" style="45" customWidth="1" outlineLevel="1"/>
    <col min="33" max="33" width="14.710937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1100</v>
      </c>
      <c r="B2" s="232" t="s">
        <v>149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idden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idden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30">SUM(U34:AF34)</f>
        <v>0</v>
      </c>
    </row>
    <row r="35" spans="1:43" s="96" customFormat="1" hidden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 hidden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 hidden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 hidden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f t="shared" si="30"/>
        <v>0</v>
      </c>
    </row>
    <row r="39" spans="1:43" s="96" customFormat="1" hidden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0</v>
      </c>
      <c r="V39" s="41">
        <f t="shared" si="33"/>
        <v>0</v>
      </c>
      <c r="W39" s="41">
        <f t="shared" si="33"/>
        <v>0</v>
      </c>
      <c r="X39" s="41">
        <f t="shared" si="33"/>
        <v>0</v>
      </c>
      <c r="Y39" s="41">
        <f t="shared" si="33"/>
        <v>0</v>
      </c>
      <c r="Z39" s="41">
        <f t="shared" si="33"/>
        <v>0</v>
      </c>
      <c r="AA39" s="41">
        <f t="shared" si="33"/>
        <v>0</v>
      </c>
      <c r="AB39" s="41">
        <f t="shared" si="33"/>
        <v>0</v>
      </c>
      <c r="AC39" s="41">
        <f t="shared" si="33"/>
        <v>0</v>
      </c>
      <c r="AD39" s="41">
        <f t="shared" si="33"/>
        <v>0</v>
      </c>
      <c r="AE39" s="41">
        <f t="shared" si="33"/>
        <v>0</v>
      </c>
      <c r="AF39" s="41">
        <f t="shared" si="33"/>
        <v>0</v>
      </c>
      <c r="AG39" s="41">
        <f t="shared" si="30"/>
        <v>0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hidden="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0"/>
        <v>0</v>
      </c>
    </row>
    <row r="50" spans="1:33" s="98" customFormat="1" hidden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hidden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0"/>
        <v>0</v>
      </c>
    </row>
    <row r="52" spans="1:33" s="98" customFormat="1" hidden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67000</v>
      </c>
      <c r="V53" s="234">
        <f>VLOOKUP($A$2,osobni!$F$31:$EQ$44,osobni!EF$3,FALSE)</f>
        <v>67000</v>
      </c>
      <c r="W53" s="234">
        <f>VLOOKUP($A$2,osobni!$F$31:$EQ$44,osobni!EG$3,FALSE)</f>
        <v>67000</v>
      </c>
      <c r="X53" s="234">
        <f>VLOOKUP($A$2,osobni!$F$31:$EQ$44,osobni!EH$3,FALSE)</f>
        <v>67000</v>
      </c>
      <c r="Y53" s="234">
        <f>VLOOKUP($A$2,osobni!$F$31:$EQ$44,osobni!EI$3,FALSE)</f>
        <v>67000</v>
      </c>
      <c r="Z53" s="234">
        <f>VLOOKUP($A$2,osobni!$F$31:$EQ$44,osobni!EJ$3,FALSE)</f>
        <v>67000</v>
      </c>
      <c r="AA53" s="234">
        <f>VLOOKUP($A$2,osobni!$F$31:$EQ$44,osobni!EK$3,FALSE)</f>
        <v>67000</v>
      </c>
      <c r="AB53" s="234">
        <f>VLOOKUP($A$2,osobni!$F$31:$EQ$44,osobni!EL$3,FALSE)</f>
        <v>67000</v>
      </c>
      <c r="AC53" s="234">
        <f>VLOOKUP($A$2,osobni!$F$31:$EQ$44,osobni!EM$3,FALSE)</f>
        <v>67000</v>
      </c>
      <c r="AD53" s="234">
        <f>VLOOKUP($A$2,osobni!$F$31:$EQ$44,osobni!EN$3,FALSE)</f>
        <v>67000</v>
      </c>
      <c r="AE53" s="234">
        <f>VLOOKUP($A$2,osobni!$F$31:$EQ$44,osobni!EO$3,FALSE)</f>
        <v>67000</v>
      </c>
      <c r="AF53" s="234">
        <f>VLOOKUP($A$2,osobni!$F$31:$EQ$44,osobni!EP$3,FALSE)</f>
        <v>67000</v>
      </c>
      <c r="AG53" s="51">
        <f t="shared" si="30"/>
        <v>804000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30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3000</v>
      </c>
      <c r="V55" s="51">
        <v>3000</v>
      </c>
      <c r="W55" s="51">
        <v>3000</v>
      </c>
      <c r="X55" s="51">
        <v>3000</v>
      </c>
      <c r="Y55" s="51">
        <v>3000</v>
      </c>
      <c r="Z55" s="51">
        <v>3000</v>
      </c>
      <c r="AA55" s="51">
        <v>3000</v>
      </c>
      <c r="AB55" s="51">
        <v>3000</v>
      </c>
      <c r="AC55" s="51">
        <v>3000</v>
      </c>
      <c r="AD55" s="51">
        <v>3000</v>
      </c>
      <c r="AE55" s="51">
        <v>3000</v>
      </c>
      <c r="AF55" s="51">
        <v>3000</v>
      </c>
      <c r="AG55" s="51">
        <f t="shared" si="30"/>
        <v>36000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6292.3305785123966</v>
      </c>
      <c r="V56" s="234">
        <f>VLOOKUP($A$2,auta!$F$12:$EM$34,auta!EB$11,FALSE)</f>
        <v>4792.3305785123966</v>
      </c>
      <c r="W56" s="234">
        <f>VLOOKUP($A$2,auta!$F$12:$EM$34,auta!EC$11,FALSE)</f>
        <v>4792.3305785123966</v>
      </c>
      <c r="X56" s="234">
        <f>VLOOKUP($A$2,auta!$F$12:$EM$34,auta!ED$11,FALSE)</f>
        <v>4792.3305785123966</v>
      </c>
      <c r="Y56" s="234">
        <f>VLOOKUP($A$2,auta!$F$12:$EM$34,auta!EE$11,FALSE)</f>
        <v>4792.3305785123966</v>
      </c>
      <c r="Z56" s="234">
        <f>VLOOKUP($A$2,auta!$F$12:$EM$34,auta!EF$11,FALSE)</f>
        <v>4792.3305785123966</v>
      </c>
      <c r="AA56" s="234">
        <f>VLOOKUP($A$2,auta!$F$12:$EM$34,auta!EG$11,FALSE)</f>
        <v>4792.3305785123966</v>
      </c>
      <c r="AB56" s="234">
        <f>VLOOKUP($A$2,auta!$F$12:$EM$34,auta!EH$11,FALSE)</f>
        <v>4792.3305785123966</v>
      </c>
      <c r="AC56" s="234">
        <f>VLOOKUP($A$2,auta!$F$12:$EM$34,auta!EI$11,FALSE)</f>
        <v>4792.3305785123966</v>
      </c>
      <c r="AD56" s="234">
        <f>VLOOKUP($A$2,auta!$F$12:$EM$34,auta!EJ$11,FALSE)</f>
        <v>4792.3305785123966</v>
      </c>
      <c r="AE56" s="234">
        <f>VLOOKUP($A$2,auta!$F$12:$EM$34,auta!EK$11,FALSE)</f>
        <v>4792.3305785123966</v>
      </c>
      <c r="AF56" s="234">
        <f>VLOOKUP($A$2,auta!$F$12:$EM$34,auta!EL$11,FALSE)</f>
        <v>4792.3305785123966</v>
      </c>
      <c r="AG56" s="51">
        <f t="shared" si="30"/>
        <v>59007.966942148756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3000</v>
      </c>
      <c r="V57" s="234">
        <f>VLOOKUP($A$2,'odb. sluzby'!$C$15:$AE$29,'odb. sluzby'!T$15,FALSE)</f>
        <v>3000</v>
      </c>
      <c r="W57" s="234">
        <f>VLOOKUP($A$2,'odb. sluzby'!$C$15:$AE$29,'odb. sluzby'!U$15,FALSE)</f>
        <v>3000</v>
      </c>
      <c r="X57" s="234">
        <f>VLOOKUP($A$2,'odb. sluzby'!$C$15:$AE$29,'odb. sluzby'!V$15,FALSE)</f>
        <v>3000</v>
      </c>
      <c r="Y57" s="234">
        <f>VLOOKUP($A$2,'odb. sluzby'!$C$15:$AE$29,'odb. sluzby'!W$15,FALSE)</f>
        <v>3000</v>
      </c>
      <c r="Z57" s="234">
        <f>VLOOKUP($A$2,'odb. sluzby'!$C$15:$AE$29,'odb. sluzby'!X$15,FALSE)</f>
        <v>3000</v>
      </c>
      <c r="AA57" s="234">
        <f>VLOOKUP($A$2,'odb. sluzby'!$C$15:$AE$29,'odb. sluzby'!Y$15,FALSE)</f>
        <v>3000</v>
      </c>
      <c r="AB57" s="234">
        <f>VLOOKUP($A$2,'odb. sluzby'!$C$15:$AE$29,'odb. sluzby'!Z$15,FALSE)</f>
        <v>3000</v>
      </c>
      <c r="AC57" s="234">
        <f>VLOOKUP($A$2,'odb. sluzby'!$C$15:$AE$29,'odb. sluzby'!AA$15,FALSE)</f>
        <v>3000</v>
      </c>
      <c r="AD57" s="234">
        <f>VLOOKUP($A$2,'odb. sluzby'!$C$15:$AE$29,'odb. sluzby'!AB$15,FALSE)</f>
        <v>3000</v>
      </c>
      <c r="AE57" s="234">
        <f>VLOOKUP($A$2,'odb. sluzby'!$C$15:$AE$29,'odb. sluzby'!AC$15,FALSE)</f>
        <v>3000</v>
      </c>
      <c r="AF57" s="234">
        <f>VLOOKUP($A$2,'odb. sluzby'!$C$15:$AE$29,'odb. sluzby'!AD$15,FALSE)</f>
        <v>3000</v>
      </c>
      <c r="AG57" s="51">
        <f t="shared" si="30"/>
        <v>36000</v>
      </c>
    </row>
    <row r="58" spans="1:33" s="98" customFormat="1" hidden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7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234">
        <f>VLOOKUP($A$2,investice!$C$51:$AG$65,investice!U$51,FALSE)</f>
        <v>6101.333333333333</v>
      </c>
      <c r="V59" s="234">
        <f>VLOOKUP($A$2,investice!$C$51:$AG$65,investice!V$51,FALSE)</f>
        <v>6101.333333333333</v>
      </c>
      <c r="W59" s="234">
        <f>VLOOKUP($A$2,investice!$C$51:$AG$65,investice!W$51,FALSE)</f>
        <v>6101.333333333333</v>
      </c>
      <c r="X59" s="234">
        <f>VLOOKUP($A$2,investice!$C$51:$AG$65,investice!X$51,FALSE)</f>
        <v>6101.333333333333</v>
      </c>
      <c r="Y59" s="234">
        <f>VLOOKUP($A$2,investice!$C$51:$AG$65,investice!Y$51,FALSE)</f>
        <v>6101.333333333333</v>
      </c>
      <c r="Z59" s="234">
        <f>VLOOKUP($A$2,investice!$C$51:$AG$65,investice!Z$51,FALSE)</f>
        <v>6101.333333333333</v>
      </c>
      <c r="AA59" s="234">
        <f>VLOOKUP($A$2,investice!$C$51:$AG$65,investice!AA$51,FALSE)</f>
        <v>6101.333333333333</v>
      </c>
      <c r="AB59" s="234">
        <f>VLOOKUP($A$2,investice!$C$51:$AG$65,investice!AB$51,FALSE)</f>
        <v>6101.333333333333</v>
      </c>
      <c r="AC59" s="234">
        <f>VLOOKUP($A$2,investice!$C$51:$AG$65,investice!AC$51,FALSE)</f>
        <v>6101.333333333333</v>
      </c>
      <c r="AD59" s="234">
        <f>VLOOKUP($A$2,investice!$C$51:$AG$65,investice!AD$51,FALSE)</f>
        <v>6101.333333333333</v>
      </c>
      <c r="AE59" s="234">
        <f>VLOOKUP($A$2,investice!$C$51:$AG$65,investice!AE$51,FALSE)</f>
        <v>6101.333333333333</v>
      </c>
      <c r="AF59" s="234">
        <f>VLOOKUP($A$2,investice!$C$51:$AG$65,investice!AF$51,FALSE)</f>
        <v>6101.333333333333</v>
      </c>
      <c r="AG59" s="51">
        <f t="shared" si="30"/>
        <v>73216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1366.6666666666667</v>
      </c>
      <c r="V60" s="235">
        <f>VLOOKUP($A$2,osobni!$F$31:$EQ$44,osobni!DD$3,FALSE)</f>
        <v>1366.6666666666667</v>
      </c>
      <c r="W60" s="235">
        <f>VLOOKUP($A$2,osobni!$F$31:$EQ$44,osobni!DE$3,FALSE)</f>
        <v>1366.6666666666667</v>
      </c>
      <c r="X60" s="235">
        <f>VLOOKUP($A$2,osobni!$F$31:$EQ$44,osobni!DF$3,FALSE)</f>
        <v>1366.6666666666667</v>
      </c>
      <c r="Y60" s="235">
        <f>VLOOKUP($A$2,osobni!$F$31:$EQ$44,osobni!DG$3,FALSE)</f>
        <v>1366.6666666666667</v>
      </c>
      <c r="Z60" s="235">
        <f>VLOOKUP($A$2,osobni!$F$31:$EQ$44,osobni!DH$3,FALSE)</f>
        <v>1366.6666666666667</v>
      </c>
      <c r="AA60" s="235">
        <f>VLOOKUP($A$2,osobni!$F$31:$EQ$44,osobni!DI$3,FALSE)</f>
        <v>1366.6666666666667</v>
      </c>
      <c r="AB60" s="235">
        <f>VLOOKUP($A$2,osobni!$F$31:$EQ$44,osobni!DJ$3,FALSE)</f>
        <v>1366.6666666666667</v>
      </c>
      <c r="AC60" s="235">
        <f>VLOOKUP($A$2,osobni!$F$31:$EQ$44,osobni!DK$3,FALSE)</f>
        <v>1366.6666666666667</v>
      </c>
      <c r="AD60" s="235">
        <f>VLOOKUP($A$2,osobni!$F$31:$EQ$44,osobni!DL$3,FALSE)</f>
        <v>1366.6666666666667</v>
      </c>
      <c r="AE60" s="235">
        <f>VLOOKUP($A$2,osobni!$F$31:$EQ$44,osobni!DM$3,FALSE)</f>
        <v>1366.6666666666667</v>
      </c>
      <c r="AF60" s="235">
        <f>VLOOKUP($A$2,osobni!$F$31:$EQ$44,osobni!DN$3,FALSE)</f>
        <v>1366.6666666666667</v>
      </c>
      <c r="AG60" s="44">
        <f t="shared" si="30"/>
        <v>16399.999999999996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86760.330578512396</v>
      </c>
      <c r="V61" s="41">
        <f t="shared" si="40"/>
        <v>85260.330578512396</v>
      </c>
      <c r="W61" s="41">
        <f t="shared" si="40"/>
        <v>85260.330578512396</v>
      </c>
      <c r="X61" s="41">
        <f t="shared" si="40"/>
        <v>85260.330578512396</v>
      </c>
      <c r="Y61" s="41">
        <f t="shared" si="40"/>
        <v>85260.330578512396</v>
      </c>
      <c r="Z61" s="41">
        <f t="shared" si="40"/>
        <v>85260.330578512396</v>
      </c>
      <c r="AA61" s="41">
        <f t="shared" si="40"/>
        <v>85260.330578512396</v>
      </c>
      <c r="AB61" s="41">
        <f t="shared" si="40"/>
        <v>85260.330578512396</v>
      </c>
      <c r="AC61" s="41">
        <f t="shared" si="40"/>
        <v>85260.330578512396</v>
      </c>
      <c r="AD61" s="41">
        <f t="shared" si="40"/>
        <v>85260.330578512396</v>
      </c>
      <c r="AE61" s="41">
        <f t="shared" si="40"/>
        <v>85260.330578512396</v>
      </c>
      <c r="AF61" s="41">
        <f t="shared" si="40"/>
        <v>85260.330578512396</v>
      </c>
      <c r="AG61" s="41">
        <f t="shared" si="30"/>
        <v>1024623.9669421487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-86760.330578512396</v>
      </c>
      <c r="V64" s="63">
        <f t="shared" si="43"/>
        <v>-85260.330578512396</v>
      </c>
      <c r="W64" s="63">
        <f t="shared" si="43"/>
        <v>-85260.330578512396</v>
      </c>
      <c r="X64" s="63">
        <f t="shared" si="43"/>
        <v>-85260.330578512396</v>
      </c>
      <c r="Y64" s="63">
        <f t="shared" si="43"/>
        <v>-85260.330578512396</v>
      </c>
      <c r="Z64" s="63">
        <f t="shared" si="43"/>
        <v>-85260.330578512396</v>
      </c>
      <c r="AA64" s="63">
        <f t="shared" si="43"/>
        <v>-85260.330578512396</v>
      </c>
      <c r="AB64" s="63">
        <f t="shared" si="43"/>
        <v>-85260.330578512396</v>
      </c>
      <c r="AC64" s="63">
        <f t="shared" si="43"/>
        <v>-85260.330578512396</v>
      </c>
      <c r="AD64" s="63">
        <f t="shared" si="43"/>
        <v>-85260.330578512396</v>
      </c>
      <c r="AE64" s="63">
        <f t="shared" si="43"/>
        <v>-85260.330578512396</v>
      </c>
      <c r="AF64" s="63">
        <f t="shared" si="43"/>
        <v>-85260.330578512396</v>
      </c>
      <c r="AG64" s="63">
        <f t="shared" si="30"/>
        <v>-1024623.9669421487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7">C64-C66+C67</f>
        <v>0</v>
      </c>
      <c r="D68" s="72">
        <f t="shared" si="47"/>
        <v>0</v>
      </c>
      <c r="E68" s="72">
        <f t="shared" si="47"/>
        <v>0</v>
      </c>
      <c r="G68" s="72">
        <f t="shared" ref="G68:R68" si="48">G64-G66+G67</f>
        <v>0</v>
      </c>
      <c r="H68" s="72">
        <f t="shared" si="48"/>
        <v>0</v>
      </c>
      <c r="I68" s="72">
        <f t="shared" si="48"/>
        <v>0</v>
      </c>
      <c r="J68" s="72">
        <f t="shared" si="48"/>
        <v>0</v>
      </c>
      <c r="K68" s="72">
        <f t="shared" si="48"/>
        <v>0</v>
      </c>
      <c r="L68" s="72">
        <f t="shared" si="48"/>
        <v>0</v>
      </c>
      <c r="M68" s="72">
        <f t="shared" si="48"/>
        <v>0</v>
      </c>
      <c r="N68" s="72">
        <f t="shared" si="48"/>
        <v>0</v>
      </c>
      <c r="O68" s="72">
        <f t="shared" si="48"/>
        <v>0</v>
      </c>
      <c r="P68" s="72">
        <f t="shared" si="48"/>
        <v>0</v>
      </c>
      <c r="Q68" s="72">
        <f t="shared" si="48"/>
        <v>0</v>
      </c>
      <c r="R68" s="72">
        <f t="shared" si="48"/>
        <v>0</v>
      </c>
      <c r="S68" s="72">
        <f>SUM(G68:R68)</f>
        <v>0</v>
      </c>
      <c r="T68" s="96"/>
      <c r="U68" s="72">
        <f t="shared" ref="U68:AF68" si="49">U64-U66+U67</f>
        <v>-86760.330578512396</v>
      </c>
      <c r="V68" s="72">
        <f t="shared" si="49"/>
        <v>-85260.330578512396</v>
      </c>
      <c r="W68" s="72">
        <f t="shared" si="49"/>
        <v>-85260.330578512396</v>
      </c>
      <c r="X68" s="72">
        <f t="shared" si="49"/>
        <v>-85260.330578512396</v>
      </c>
      <c r="Y68" s="72">
        <f t="shared" si="49"/>
        <v>-85260.330578512396</v>
      </c>
      <c r="Z68" s="72">
        <f t="shared" si="49"/>
        <v>-85260.330578512396</v>
      </c>
      <c r="AA68" s="72">
        <f t="shared" si="49"/>
        <v>-85260.330578512396</v>
      </c>
      <c r="AB68" s="72">
        <f t="shared" si="49"/>
        <v>-85260.330578512396</v>
      </c>
      <c r="AC68" s="72">
        <f t="shared" si="49"/>
        <v>-85260.330578512396</v>
      </c>
      <c r="AD68" s="72">
        <f t="shared" si="49"/>
        <v>-85260.330578512396</v>
      </c>
      <c r="AE68" s="72">
        <f t="shared" si="49"/>
        <v>-85260.330578512396</v>
      </c>
      <c r="AF68" s="72">
        <f t="shared" si="49"/>
        <v>-85260.330578512396</v>
      </c>
      <c r="AG68" s="72">
        <f>SUM(U68:AF68)</f>
        <v>-1024623.9669421487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0">C68-C69</f>
        <v>0</v>
      </c>
      <c r="D70" s="78">
        <f t="shared" si="50"/>
        <v>0</v>
      </c>
      <c r="E70" s="78">
        <f t="shared" si="50"/>
        <v>0</v>
      </c>
      <c r="G70" s="78">
        <f t="shared" ref="G70:R70" si="51">G68-G69</f>
        <v>0</v>
      </c>
      <c r="H70" s="78">
        <f t="shared" si="51"/>
        <v>0</v>
      </c>
      <c r="I70" s="78">
        <f t="shared" si="51"/>
        <v>0</v>
      </c>
      <c r="J70" s="78">
        <f t="shared" si="51"/>
        <v>0</v>
      </c>
      <c r="K70" s="78">
        <f t="shared" si="51"/>
        <v>0</v>
      </c>
      <c r="L70" s="78">
        <f t="shared" si="51"/>
        <v>0</v>
      </c>
      <c r="M70" s="78">
        <f t="shared" si="51"/>
        <v>0</v>
      </c>
      <c r="N70" s="78">
        <f t="shared" si="51"/>
        <v>0</v>
      </c>
      <c r="O70" s="78">
        <f t="shared" si="51"/>
        <v>0</v>
      </c>
      <c r="P70" s="78">
        <f t="shared" si="51"/>
        <v>0</v>
      </c>
      <c r="Q70" s="78">
        <f t="shared" si="51"/>
        <v>0</v>
      </c>
      <c r="R70" s="78">
        <f t="shared" si="51"/>
        <v>0</v>
      </c>
      <c r="S70" s="78">
        <f>SUM(G70:R70)</f>
        <v>0</v>
      </c>
      <c r="T70" s="96"/>
      <c r="U70" s="78">
        <f t="shared" ref="U70:AF70" si="52">U68-U69</f>
        <v>-86760.330578512396</v>
      </c>
      <c r="V70" s="78">
        <f t="shared" si="52"/>
        <v>-85260.330578512396</v>
      </c>
      <c r="W70" s="78">
        <f t="shared" si="52"/>
        <v>-85260.330578512396</v>
      </c>
      <c r="X70" s="78">
        <f t="shared" si="52"/>
        <v>-85260.330578512396</v>
      </c>
      <c r="Y70" s="78">
        <f t="shared" si="52"/>
        <v>-85260.330578512396</v>
      </c>
      <c r="Z70" s="78">
        <f t="shared" si="52"/>
        <v>-85260.330578512396</v>
      </c>
      <c r="AA70" s="78">
        <f t="shared" si="52"/>
        <v>-85260.330578512396</v>
      </c>
      <c r="AB70" s="78">
        <f t="shared" si="52"/>
        <v>-85260.330578512396</v>
      </c>
      <c r="AC70" s="78">
        <f t="shared" si="52"/>
        <v>-85260.330578512396</v>
      </c>
      <c r="AD70" s="78">
        <f t="shared" si="52"/>
        <v>-85260.330578512396</v>
      </c>
      <c r="AE70" s="78">
        <f t="shared" si="52"/>
        <v>-85260.330578512396</v>
      </c>
      <c r="AF70" s="78">
        <f t="shared" si="52"/>
        <v>-85260.330578512396</v>
      </c>
      <c r="AG70" s="78">
        <f>SUM(U70:AF70)</f>
        <v>-1024623.9669421487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3">C70/C10</f>
        <v>#DIV/0!</v>
      </c>
      <c r="D71" s="80" t="e">
        <f t="shared" si="53"/>
        <v>#DIV/0!</v>
      </c>
      <c r="E71" s="80" t="e">
        <f t="shared" si="53"/>
        <v>#DIV/0!</v>
      </c>
      <c r="G71" s="80" t="e">
        <f t="shared" ref="G71:S71" si="54">G70/G10</f>
        <v>#DIV/0!</v>
      </c>
      <c r="H71" s="80" t="e">
        <f t="shared" si="54"/>
        <v>#DIV/0!</v>
      </c>
      <c r="I71" s="80" t="e">
        <f t="shared" si="54"/>
        <v>#DIV/0!</v>
      </c>
      <c r="J71" s="80" t="e">
        <f t="shared" si="54"/>
        <v>#DIV/0!</v>
      </c>
      <c r="K71" s="80" t="e">
        <f t="shared" si="54"/>
        <v>#DIV/0!</v>
      </c>
      <c r="L71" s="80" t="e">
        <f t="shared" si="54"/>
        <v>#DIV/0!</v>
      </c>
      <c r="M71" s="80" t="e">
        <f t="shared" si="54"/>
        <v>#DIV/0!</v>
      </c>
      <c r="N71" s="80" t="e">
        <f t="shared" si="54"/>
        <v>#DIV/0!</v>
      </c>
      <c r="O71" s="80" t="e">
        <f t="shared" si="54"/>
        <v>#DIV/0!</v>
      </c>
      <c r="P71" s="80" t="e">
        <f t="shared" si="54"/>
        <v>#DIV/0!</v>
      </c>
      <c r="Q71" s="80" t="e">
        <f t="shared" si="54"/>
        <v>#DIV/0!</v>
      </c>
      <c r="R71" s="80" t="e">
        <f t="shared" si="54"/>
        <v>#DIV/0!</v>
      </c>
      <c r="S71" s="80" t="e">
        <f t="shared" si="54"/>
        <v>#DIV/0!</v>
      </c>
      <c r="U71" s="80" t="e">
        <f t="shared" ref="U71:AG71" si="55">U70/U10</f>
        <v>#DIV/0!</v>
      </c>
      <c r="V71" s="80" t="e">
        <f t="shared" si="55"/>
        <v>#DIV/0!</v>
      </c>
      <c r="W71" s="80" t="e">
        <f t="shared" si="55"/>
        <v>#DIV/0!</v>
      </c>
      <c r="X71" s="80" t="e">
        <f t="shared" si="55"/>
        <v>#DIV/0!</v>
      </c>
      <c r="Y71" s="80" t="e">
        <f t="shared" si="55"/>
        <v>#DIV/0!</v>
      </c>
      <c r="Z71" s="80" t="e">
        <f t="shared" si="55"/>
        <v>#DIV/0!</v>
      </c>
      <c r="AA71" s="80" t="e">
        <f t="shared" si="55"/>
        <v>#DIV/0!</v>
      </c>
      <c r="AB71" s="80" t="e">
        <f t="shared" si="55"/>
        <v>#DIV/0!</v>
      </c>
      <c r="AC71" s="80" t="e">
        <f t="shared" si="55"/>
        <v>#DIV/0!</v>
      </c>
      <c r="AD71" s="80" t="e">
        <f t="shared" si="55"/>
        <v>#DIV/0!</v>
      </c>
      <c r="AE71" s="80" t="e">
        <f t="shared" si="55"/>
        <v>#DIV/0!</v>
      </c>
      <c r="AF71" s="80" t="e">
        <f t="shared" si="55"/>
        <v>#DIV/0!</v>
      </c>
      <c r="AG71" s="80" t="e">
        <f t="shared" si="55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6">C64+C73</f>
        <v>0</v>
      </c>
      <c r="D74" s="84">
        <f t="shared" si="56"/>
        <v>0</v>
      </c>
      <c r="E74" s="84">
        <f t="shared" si="56"/>
        <v>0</v>
      </c>
      <c r="G74" s="84">
        <f t="shared" ref="G74:R74" si="57">G64+G73</f>
        <v>0</v>
      </c>
      <c r="H74" s="84">
        <f t="shared" si="57"/>
        <v>0</v>
      </c>
      <c r="I74" s="84">
        <f t="shared" si="57"/>
        <v>0</v>
      </c>
      <c r="J74" s="84">
        <f t="shared" si="57"/>
        <v>0</v>
      </c>
      <c r="K74" s="84">
        <f t="shared" si="57"/>
        <v>0</v>
      </c>
      <c r="L74" s="84">
        <f t="shared" si="57"/>
        <v>0</v>
      </c>
      <c r="M74" s="84">
        <f t="shared" si="57"/>
        <v>0</v>
      </c>
      <c r="N74" s="84">
        <f t="shared" si="57"/>
        <v>0</v>
      </c>
      <c r="O74" s="84">
        <f t="shared" si="57"/>
        <v>0</v>
      </c>
      <c r="P74" s="84">
        <f t="shared" si="57"/>
        <v>0</v>
      </c>
      <c r="Q74" s="84">
        <f t="shared" si="57"/>
        <v>0</v>
      </c>
      <c r="R74" s="84">
        <f t="shared" si="57"/>
        <v>0</v>
      </c>
      <c r="S74" s="84">
        <f>SUM(G74:R74)</f>
        <v>0</v>
      </c>
      <c r="U74" s="84">
        <f t="shared" ref="U74:AF74" si="58">U64+U73</f>
        <v>-86760.330578512396</v>
      </c>
      <c r="V74" s="84">
        <f t="shared" si="58"/>
        <v>-85260.330578512396</v>
      </c>
      <c r="W74" s="84">
        <f t="shared" si="58"/>
        <v>-85260.330578512396</v>
      </c>
      <c r="X74" s="84">
        <f t="shared" si="58"/>
        <v>-85260.330578512396</v>
      </c>
      <c r="Y74" s="84">
        <f t="shared" si="58"/>
        <v>-85260.330578512396</v>
      </c>
      <c r="Z74" s="84">
        <f t="shared" si="58"/>
        <v>-85260.330578512396</v>
      </c>
      <c r="AA74" s="84">
        <f t="shared" si="58"/>
        <v>-85260.330578512396</v>
      </c>
      <c r="AB74" s="84">
        <f t="shared" si="58"/>
        <v>-85260.330578512396</v>
      </c>
      <c r="AC74" s="84">
        <f t="shared" si="58"/>
        <v>-85260.330578512396</v>
      </c>
      <c r="AD74" s="84">
        <f t="shared" si="58"/>
        <v>-85260.330578512396</v>
      </c>
      <c r="AE74" s="84">
        <f t="shared" si="58"/>
        <v>-85260.330578512396</v>
      </c>
      <c r="AF74" s="84">
        <f t="shared" si="58"/>
        <v>-85260.330578512396</v>
      </c>
      <c r="AG74" s="84">
        <f>SUM(U74:AF74)</f>
        <v>-1024623.9669421487</v>
      </c>
    </row>
    <row r="75" spans="1:33" s="110" customFormat="1">
      <c r="A75" s="85">
        <v>9790</v>
      </c>
      <c r="B75" s="86" t="s">
        <v>129</v>
      </c>
      <c r="C75" s="56" t="e">
        <f t="shared" ref="C75:E75" si="59">C74/C10</f>
        <v>#DIV/0!</v>
      </c>
      <c r="D75" s="56" t="e">
        <f t="shared" si="59"/>
        <v>#DIV/0!</v>
      </c>
      <c r="E75" s="56" t="e">
        <f t="shared" si="59"/>
        <v>#DIV/0!</v>
      </c>
      <c r="G75" s="56" t="e">
        <f t="shared" ref="G75:S75" si="60">G74/G10</f>
        <v>#DIV/0!</v>
      </c>
      <c r="H75" s="56" t="e">
        <f t="shared" si="60"/>
        <v>#DIV/0!</v>
      </c>
      <c r="I75" s="56" t="e">
        <f t="shared" si="60"/>
        <v>#DIV/0!</v>
      </c>
      <c r="J75" s="56" t="e">
        <f t="shared" si="60"/>
        <v>#DIV/0!</v>
      </c>
      <c r="K75" s="56" t="e">
        <f t="shared" si="60"/>
        <v>#DIV/0!</v>
      </c>
      <c r="L75" s="56" t="e">
        <f t="shared" si="60"/>
        <v>#DIV/0!</v>
      </c>
      <c r="M75" s="56" t="e">
        <f t="shared" si="60"/>
        <v>#DIV/0!</v>
      </c>
      <c r="N75" s="56" t="e">
        <f t="shared" si="60"/>
        <v>#DIV/0!</v>
      </c>
      <c r="O75" s="56" t="e">
        <f t="shared" si="60"/>
        <v>#DIV/0!</v>
      </c>
      <c r="P75" s="56" t="e">
        <f t="shared" si="60"/>
        <v>#DIV/0!</v>
      </c>
      <c r="Q75" s="56" t="e">
        <f t="shared" si="60"/>
        <v>#DIV/0!</v>
      </c>
      <c r="R75" s="56" t="e">
        <f t="shared" si="60"/>
        <v>#DIV/0!</v>
      </c>
      <c r="S75" s="56" t="e">
        <f t="shared" si="60"/>
        <v>#DIV/0!</v>
      </c>
      <c r="T75" s="109"/>
      <c r="U75" s="56" t="e">
        <f t="shared" ref="U75:AG75" si="61">U74/U10</f>
        <v>#DIV/0!</v>
      </c>
      <c r="V75" s="56" t="e">
        <f t="shared" si="61"/>
        <v>#DIV/0!</v>
      </c>
      <c r="W75" s="56" t="e">
        <f t="shared" si="61"/>
        <v>#DIV/0!</v>
      </c>
      <c r="X75" s="56" t="e">
        <f t="shared" si="61"/>
        <v>#DIV/0!</v>
      </c>
      <c r="Y75" s="56" t="e">
        <f t="shared" si="61"/>
        <v>#DIV/0!</v>
      </c>
      <c r="Z75" s="56" t="e">
        <f t="shared" si="61"/>
        <v>#DIV/0!</v>
      </c>
      <c r="AA75" s="56" t="e">
        <f t="shared" si="61"/>
        <v>#DIV/0!</v>
      </c>
      <c r="AB75" s="56" t="e">
        <f t="shared" si="61"/>
        <v>#DIV/0!</v>
      </c>
      <c r="AC75" s="56" t="e">
        <f t="shared" si="61"/>
        <v>#DIV/0!</v>
      </c>
      <c r="AD75" s="56" t="e">
        <f t="shared" si="61"/>
        <v>#DIV/0!</v>
      </c>
      <c r="AE75" s="56" t="e">
        <f t="shared" si="61"/>
        <v>#DIV/0!</v>
      </c>
      <c r="AF75" s="56" t="e">
        <f t="shared" si="61"/>
        <v>#DIV/0!</v>
      </c>
      <c r="AG75" s="56" t="e">
        <f t="shared" si="61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K5" activePane="bottomRight" state="frozen"/>
      <selection activeCell="W50" sqref="W50"/>
      <selection pane="topRight" activeCell="W50" sqref="W50"/>
      <selection pane="bottomLeft" activeCell="W50" sqref="W50"/>
      <selection pane="bottomRight" activeCell="B53" sqref="B53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customWidth="1" outlineLevel="1"/>
    <col min="13" max="18" width="13.28515625" style="45" customWidth="1" outlineLevel="1"/>
    <col min="19" max="19" width="17.85546875" style="45" customWidth="1"/>
    <col min="20" max="20" width="1.42578125" style="45" customWidth="1"/>
    <col min="21" max="32" width="11.140625" style="45" customWidth="1" outlineLevel="1"/>
    <col min="33" max="33" width="14.710937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1200</v>
      </c>
      <c r="B2" s="232" t="s">
        <v>75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30">SUM(U34:AF34)</f>
        <v>0</v>
      </c>
    </row>
    <row r="35" spans="1:43" s="96" customFormat="1" hidden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 hidden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 hidden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 hidden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f t="shared" si="30"/>
        <v>0</v>
      </c>
    </row>
    <row r="39" spans="1:43" s="96" customFormat="1" hidden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0</v>
      </c>
      <c r="V39" s="41">
        <f t="shared" si="33"/>
        <v>0</v>
      </c>
      <c r="W39" s="41">
        <f t="shared" si="33"/>
        <v>0</v>
      </c>
      <c r="X39" s="41">
        <f t="shared" si="33"/>
        <v>0</v>
      </c>
      <c r="Y39" s="41">
        <f t="shared" si="33"/>
        <v>0</v>
      </c>
      <c r="Z39" s="41">
        <f t="shared" si="33"/>
        <v>0</v>
      </c>
      <c r="AA39" s="41">
        <f t="shared" si="33"/>
        <v>0</v>
      </c>
      <c r="AB39" s="41">
        <f t="shared" si="33"/>
        <v>0</v>
      </c>
      <c r="AC39" s="41">
        <f t="shared" si="33"/>
        <v>0</v>
      </c>
      <c r="AD39" s="41">
        <f t="shared" si="33"/>
        <v>0</v>
      </c>
      <c r="AE39" s="41">
        <f t="shared" si="33"/>
        <v>0</v>
      </c>
      <c r="AF39" s="41">
        <f t="shared" si="33"/>
        <v>0</v>
      </c>
      <c r="AG39" s="41">
        <f t="shared" si="30"/>
        <v>0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0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0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0</v>
      </c>
      <c r="V53" s="234">
        <f>VLOOKUP($A$2,osobni!$F$31:$EQ$44,osobni!EF$3,FALSE)</f>
        <v>0</v>
      </c>
      <c r="W53" s="234">
        <f>VLOOKUP($A$2,osobni!$F$31:$EQ$44,osobni!EG$3,FALSE)</f>
        <v>0</v>
      </c>
      <c r="X53" s="234">
        <f>VLOOKUP($A$2,osobni!$F$31:$EQ$44,osobni!EH$3,FALSE)</f>
        <v>0</v>
      </c>
      <c r="Y53" s="234">
        <f>VLOOKUP($A$2,osobni!$F$31:$EQ$44,osobni!EI$3,FALSE)</f>
        <v>0</v>
      </c>
      <c r="Z53" s="234">
        <f>VLOOKUP($A$2,osobni!$F$31:$EQ$44,osobni!EJ$3,FALSE)</f>
        <v>0</v>
      </c>
      <c r="AA53" s="234">
        <f>VLOOKUP($A$2,osobni!$F$31:$EQ$44,osobni!EK$3,FALSE)</f>
        <v>0</v>
      </c>
      <c r="AB53" s="234">
        <f>VLOOKUP($A$2,osobni!$F$31:$EQ$44,osobni!EL$3,FALSE)</f>
        <v>0</v>
      </c>
      <c r="AC53" s="234">
        <f>VLOOKUP($A$2,osobni!$F$31:$EQ$44,osobni!EM$3,FALSE)</f>
        <v>0</v>
      </c>
      <c r="AD53" s="234">
        <f>VLOOKUP($A$2,osobni!$F$31:$EQ$44,osobni!EN$3,FALSE)</f>
        <v>0</v>
      </c>
      <c r="AE53" s="234">
        <f>VLOOKUP($A$2,osobni!$F$31:$EQ$44,osobni!EO$3,FALSE)</f>
        <v>0</v>
      </c>
      <c r="AF53" s="234">
        <f>VLOOKUP($A$2,osobni!$F$31:$EQ$44,osobni!EP$3,FALSE)</f>
        <v>0</v>
      </c>
      <c r="AG53" s="51">
        <f t="shared" si="30"/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30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30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0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0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7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234">
        <f>VLOOKUP($A$2,investice!$C$51:$AG$65,investice!U$51,FALSE)</f>
        <v>0</v>
      </c>
      <c r="V59" s="234">
        <f>VLOOKUP($A$2,investice!$C$51:$AG$65,investice!V$51,FALSE)</f>
        <v>0</v>
      </c>
      <c r="W59" s="234">
        <f>VLOOKUP($A$2,investice!$C$51:$AG$65,investice!W$51,FALSE)</f>
        <v>0</v>
      </c>
      <c r="X59" s="234">
        <f>VLOOKUP($A$2,investice!$C$51:$AG$65,investice!X$51,FALSE)</f>
        <v>0</v>
      </c>
      <c r="Y59" s="234">
        <f>VLOOKUP($A$2,investice!$C$51:$AG$65,investice!Y$51,FALSE)</f>
        <v>0</v>
      </c>
      <c r="Z59" s="234">
        <f>VLOOKUP($A$2,investice!$C$51:$AG$65,investice!Z$51,FALSE)</f>
        <v>0</v>
      </c>
      <c r="AA59" s="234">
        <f>VLOOKUP($A$2,investice!$C$51:$AG$65,investice!AA$51,FALSE)</f>
        <v>0</v>
      </c>
      <c r="AB59" s="234">
        <f>VLOOKUP($A$2,investice!$C$51:$AG$65,investice!AB$51,FALSE)</f>
        <v>0</v>
      </c>
      <c r="AC59" s="234">
        <f>VLOOKUP($A$2,investice!$C$51:$AG$65,investice!AC$51,FALSE)</f>
        <v>0</v>
      </c>
      <c r="AD59" s="234">
        <f>VLOOKUP($A$2,investice!$C$51:$AG$65,investice!AD$51,FALSE)</f>
        <v>0</v>
      </c>
      <c r="AE59" s="234">
        <f>VLOOKUP($A$2,investice!$C$51:$AG$65,investice!AE$51,FALSE)</f>
        <v>0</v>
      </c>
      <c r="AF59" s="234">
        <f>VLOOKUP($A$2,investice!$C$51:$AG$65,investice!AF$51,FALSE)</f>
        <v>0</v>
      </c>
      <c r="AG59" s="51">
        <f t="shared" si="30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0</v>
      </c>
      <c r="V60" s="235">
        <f>VLOOKUP($A$2,osobni!$F$31:$EQ$44,osobni!DD$3,FALSE)</f>
        <v>0</v>
      </c>
      <c r="W60" s="235">
        <f>VLOOKUP($A$2,osobni!$F$31:$EQ$44,osobni!DE$3,FALSE)</f>
        <v>0</v>
      </c>
      <c r="X60" s="235">
        <f>VLOOKUP($A$2,osobni!$F$31:$EQ$44,osobni!DF$3,FALSE)</f>
        <v>0</v>
      </c>
      <c r="Y60" s="235">
        <f>VLOOKUP($A$2,osobni!$F$31:$EQ$44,osobni!DG$3,FALSE)</f>
        <v>0</v>
      </c>
      <c r="Z60" s="235">
        <f>VLOOKUP($A$2,osobni!$F$31:$EQ$44,osobni!DH$3,FALSE)</f>
        <v>0</v>
      </c>
      <c r="AA60" s="235">
        <f>VLOOKUP($A$2,osobni!$F$31:$EQ$44,osobni!DI$3,FALSE)</f>
        <v>0</v>
      </c>
      <c r="AB60" s="235">
        <f>VLOOKUP($A$2,osobni!$F$31:$EQ$44,osobni!DJ$3,FALSE)</f>
        <v>0</v>
      </c>
      <c r="AC60" s="235">
        <f>VLOOKUP($A$2,osobni!$F$31:$EQ$44,osobni!DK$3,FALSE)</f>
        <v>0</v>
      </c>
      <c r="AD60" s="235">
        <f>VLOOKUP($A$2,osobni!$F$31:$EQ$44,osobni!DL$3,FALSE)</f>
        <v>0</v>
      </c>
      <c r="AE60" s="235">
        <f>VLOOKUP($A$2,osobni!$F$31:$EQ$44,osobni!DM$3,FALSE)</f>
        <v>0</v>
      </c>
      <c r="AF60" s="235">
        <f>VLOOKUP($A$2,osobni!$F$31:$EQ$44,osobni!DN$3,FALSE)</f>
        <v>0</v>
      </c>
      <c r="AG60" s="44">
        <f t="shared" si="30"/>
        <v>0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0</v>
      </c>
      <c r="V61" s="41">
        <f t="shared" si="40"/>
        <v>0</v>
      </c>
      <c r="W61" s="41">
        <f t="shared" si="40"/>
        <v>0</v>
      </c>
      <c r="X61" s="41">
        <f t="shared" si="40"/>
        <v>0</v>
      </c>
      <c r="Y61" s="41">
        <f t="shared" si="40"/>
        <v>0</v>
      </c>
      <c r="Z61" s="41">
        <f t="shared" si="40"/>
        <v>0</v>
      </c>
      <c r="AA61" s="41">
        <f t="shared" si="40"/>
        <v>0</v>
      </c>
      <c r="AB61" s="41">
        <f t="shared" si="40"/>
        <v>0</v>
      </c>
      <c r="AC61" s="41">
        <f t="shared" si="40"/>
        <v>0</v>
      </c>
      <c r="AD61" s="41">
        <f t="shared" si="40"/>
        <v>0</v>
      </c>
      <c r="AE61" s="41">
        <f t="shared" si="40"/>
        <v>0</v>
      </c>
      <c r="AF61" s="41">
        <f t="shared" si="40"/>
        <v>0</v>
      </c>
      <c r="AG61" s="41">
        <f t="shared" si="30"/>
        <v>0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0</v>
      </c>
      <c r="V64" s="63">
        <f t="shared" si="43"/>
        <v>0</v>
      </c>
      <c r="W64" s="63">
        <f t="shared" si="43"/>
        <v>0</v>
      </c>
      <c r="X64" s="63">
        <f t="shared" si="43"/>
        <v>0</v>
      </c>
      <c r="Y64" s="63">
        <f t="shared" si="43"/>
        <v>0</v>
      </c>
      <c r="Z64" s="63">
        <f t="shared" si="43"/>
        <v>0</v>
      </c>
      <c r="AA64" s="63">
        <f t="shared" si="43"/>
        <v>0</v>
      </c>
      <c r="AB64" s="63">
        <f t="shared" si="43"/>
        <v>0</v>
      </c>
      <c r="AC64" s="63">
        <f t="shared" si="43"/>
        <v>0</v>
      </c>
      <c r="AD64" s="63">
        <f t="shared" si="43"/>
        <v>0</v>
      </c>
      <c r="AE64" s="63">
        <f t="shared" si="43"/>
        <v>0</v>
      </c>
      <c r="AF64" s="63">
        <f t="shared" si="43"/>
        <v>0</v>
      </c>
      <c r="AG64" s="63">
        <f t="shared" si="30"/>
        <v>0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7">C64-C66+C67</f>
        <v>0</v>
      </c>
      <c r="D68" s="72">
        <f t="shared" si="47"/>
        <v>0</v>
      </c>
      <c r="E68" s="72">
        <f t="shared" si="47"/>
        <v>0</v>
      </c>
      <c r="G68" s="72">
        <f t="shared" ref="G68:R68" si="48">G64-G66+G67</f>
        <v>0</v>
      </c>
      <c r="H68" s="72">
        <f t="shared" si="48"/>
        <v>0</v>
      </c>
      <c r="I68" s="72">
        <f t="shared" si="48"/>
        <v>0</v>
      </c>
      <c r="J68" s="72">
        <f t="shared" si="48"/>
        <v>0</v>
      </c>
      <c r="K68" s="72">
        <f t="shared" si="48"/>
        <v>0</v>
      </c>
      <c r="L68" s="72">
        <f t="shared" si="48"/>
        <v>0</v>
      </c>
      <c r="M68" s="72">
        <f t="shared" si="48"/>
        <v>0</v>
      </c>
      <c r="N68" s="72">
        <f t="shared" si="48"/>
        <v>0</v>
      </c>
      <c r="O68" s="72">
        <f t="shared" si="48"/>
        <v>0</v>
      </c>
      <c r="P68" s="72">
        <f t="shared" si="48"/>
        <v>0</v>
      </c>
      <c r="Q68" s="72">
        <f t="shared" si="48"/>
        <v>0</v>
      </c>
      <c r="R68" s="72">
        <f t="shared" si="48"/>
        <v>0</v>
      </c>
      <c r="S68" s="72">
        <f>SUM(G68:R68)</f>
        <v>0</v>
      </c>
      <c r="T68" s="96"/>
      <c r="U68" s="72">
        <f t="shared" ref="U68:AF68" si="49">U64-U66+U67</f>
        <v>0</v>
      </c>
      <c r="V68" s="72">
        <f t="shared" si="49"/>
        <v>0</v>
      </c>
      <c r="W68" s="72">
        <f t="shared" si="49"/>
        <v>0</v>
      </c>
      <c r="X68" s="72">
        <f t="shared" si="49"/>
        <v>0</v>
      </c>
      <c r="Y68" s="72">
        <f t="shared" si="49"/>
        <v>0</v>
      </c>
      <c r="Z68" s="72">
        <f t="shared" si="49"/>
        <v>0</v>
      </c>
      <c r="AA68" s="72">
        <f t="shared" si="49"/>
        <v>0</v>
      </c>
      <c r="AB68" s="72">
        <f t="shared" si="49"/>
        <v>0</v>
      </c>
      <c r="AC68" s="72">
        <f t="shared" si="49"/>
        <v>0</v>
      </c>
      <c r="AD68" s="72">
        <f t="shared" si="49"/>
        <v>0</v>
      </c>
      <c r="AE68" s="72">
        <f t="shared" si="49"/>
        <v>0</v>
      </c>
      <c r="AF68" s="72">
        <f t="shared" si="49"/>
        <v>0</v>
      </c>
      <c r="AG68" s="72">
        <f>SUM(U68:AF68)</f>
        <v>0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0">C68-C69</f>
        <v>0</v>
      </c>
      <c r="D70" s="78">
        <f t="shared" si="50"/>
        <v>0</v>
      </c>
      <c r="E70" s="78">
        <f t="shared" si="50"/>
        <v>0</v>
      </c>
      <c r="G70" s="78">
        <f t="shared" ref="G70:R70" si="51">G68-G69</f>
        <v>0</v>
      </c>
      <c r="H70" s="78">
        <f t="shared" si="51"/>
        <v>0</v>
      </c>
      <c r="I70" s="78">
        <f t="shared" si="51"/>
        <v>0</v>
      </c>
      <c r="J70" s="78">
        <f t="shared" si="51"/>
        <v>0</v>
      </c>
      <c r="K70" s="78">
        <f t="shared" si="51"/>
        <v>0</v>
      </c>
      <c r="L70" s="78">
        <f t="shared" si="51"/>
        <v>0</v>
      </c>
      <c r="M70" s="78">
        <f t="shared" si="51"/>
        <v>0</v>
      </c>
      <c r="N70" s="78">
        <f t="shared" si="51"/>
        <v>0</v>
      </c>
      <c r="O70" s="78">
        <f t="shared" si="51"/>
        <v>0</v>
      </c>
      <c r="P70" s="78">
        <f t="shared" si="51"/>
        <v>0</v>
      </c>
      <c r="Q70" s="78">
        <f t="shared" si="51"/>
        <v>0</v>
      </c>
      <c r="R70" s="78">
        <f t="shared" si="51"/>
        <v>0</v>
      </c>
      <c r="S70" s="78">
        <f>SUM(G70:R70)</f>
        <v>0</v>
      </c>
      <c r="T70" s="96"/>
      <c r="U70" s="78">
        <f t="shared" ref="U70:AF70" si="52">U68-U69</f>
        <v>0</v>
      </c>
      <c r="V70" s="78">
        <f t="shared" si="52"/>
        <v>0</v>
      </c>
      <c r="W70" s="78">
        <f t="shared" si="52"/>
        <v>0</v>
      </c>
      <c r="X70" s="78">
        <f t="shared" si="52"/>
        <v>0</v>
      </c>
      <c r="Y70" s="78">
        <f t="shared" si="52"/>
        <v>0</v>
      </c>
      <c r="Z70" s="78">
        <f t="shared" si="52"/>
        <v>0</v>
      </c>
      <c r="AA70" s="78">
        <f t="shared" si="52"/>
        <v>0</v>
      </c>
      <c r="AB70" s="78">
        <f t="shared" si="52"/>
        <v>0</v>
      </c>
      <c r="AC70" s="78">
        <f t="shared" si="52"/>
        <v>0</v>
      </c>
      <c r="AD70" s="78">
        <f t="shared" si="52"/>
        <v>0</v>
      </c>
      <c r="AE70" s="78">
        <f t="shared" si="52"/>
        <v>0</v>
      </c>
      <c r="AF70" s="78">
        <f t="shared" si="52"/>
        <v>0</v>
      </c>
      <c r="AG70" s="78">
        <f>SUM(U70:AF70)</f>
        <v>0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3">C70/C10</f>
        <v>#DIV/0!</v>
      </c>
      <c r="D71" s="80" t="e">
        <f t="shared" si="53"/>
        <v>#DIV/0!</v>
      </c>
      <c r="E71" s="80" t="e">
        <f t="shared" si="53"/>
        <v>#DIV/0!</v>
      </c>
      <c r="G71" s="80" t="e">
        <f t="shared" ref="G71:S71" si="54">G70/G10</f>
        <v>#DIV/0!</v>
      </c>
      <c r="H71" s="80" t="e">
        <f t="shared" si="54"/>
        <v>#DIV/0!</v>
      </c>
      <c r="I71" s="80" t="e">
        <f t="shared" si="54"/>
        <v>#DIV/0!</v>
      </c>
      <c r="J71" s="80" t="e">
        <f t="shared" si="54"/>
        <v>#DIV/0!</v>
      </c>
      <c r="K71" s="80" t="e">
        <f t="shared" si="54"/>
        <v>#DIV/0!</v>
      </c>
      <c r="L71" s="80" t="e">
        <f t="shared" si="54"/>
        <v>#DIV/0!</v>
      </c>
      <c r="M71" s="80" t="e">
        <f t="shared" si="54"/>
        <v>#DIV/0!</v>
      </c>
      <c r="N71" s="80" t="e">
        <f t="shared" si="54"/>
        <v>#DIV/0!</v>
      </c>
      <c r="O71" s="80" t="e">
        <f t="shared" si="54"/>
        <v>#DIV/0!</v>
      </c>
      <c r="P71" s="80" t="e">
        <f t="shared" si="54"/>
        <v>#DIV/0!</v>
      </c>
      <c r="Q71" s="80" t="e">
        <f t="shared" si="54"/>
        <v>#DIV/0!</v>
      </c>
      <c r="R71" s="80" t="e">
        <f t="shared" si="54"/>
        <v>#DIV/0!</v>
      </c>
      <c r="S71" s="80" t="e">
        <f t="shared" si="54"/>
        <v>#DIV/0!</v>
      </c>
      <c r="U71" s="80" t="e">
        <f t="shared" ref="U71:AG71" si="55">U70/U10</f>
        <v>#DIV/0!</v>
      </c>
      <c r="V71" s="80" t="e">
        <f t="shared" si="55"/>
        <v>#DIV/0!</v>
      </c>
      <c r="W71" s="80" t="e">
        <f t="shared" si="55"/>
        <v>#DIV/0!</v>
      </c>
      <c r="X71" s="80" t="e">
        <f t="shared" si="55"/>
        <v>#DIV/0!</v>
      </c>
      <c r="Y71" s="80" t="e">
        <f t="shared" si="55"/>
        <v>#DIV/0!</v>
      </c>
      <c r="Z71" s="80" t="e">
        <f t="shared" si="55"/>
        <v>#DIV/0!</v>
      </c>
      <c r="AA71" s="80" t="e">
        <f t="shared" si="55"/>
        <v>#DIV/0!</v>
      </c>
      <c r="AB71" s="80" t="e">
        <f t="shared" si="55"/>
        <v>#DIV/0!</v>
      </c>
      <c r="AC71" s="80" t="e">
        <f t="shared" si="55"/>
        <v>#DIV/0!</v>
      </c>
      <c r="AD71" s="80" t="e">
        <f t="shared" si="55"/>
        <v>#DIV/0!</v>
      </c>
      <c r="AE71" s="80" t="e">
        <f t="shared" si="55"/>
        <v>#DIV/0!</v>
      </c>
      <c r="AF71" s="80" t="e">
        <f t="shared" si="55"/>
        <v>#DIV/0!</v>
      </c>
      <c r="AG71" s="80" t="e">
        <f t="shared" si="55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6">C64+C73</f>
        <v>0</v>
      </c>
      <c r="D74" s="84">
        <f t="shared" si="56"/>
        <v>0</v>
      </c>
      <c r="E74" s="84">
        <f t="shared" si="56"/>
        <v>0</v>
      </c>
      <c r="G74" s="84">
        <f t="shared" ref="G74:R74" si="57">G64+G73</f>
        <v>0</v>
      </c>
      <c r="H74" s="84">
        <f t="shared" si="57"/>
        <v>0</v>
      </c>
      <c r="I74" s="84">
        <f t="shared" si="57"/>
        <v>0</v>
      </c>
      <c r="J74" s="84">
        <f t="shared" si="57"/>
        <v>0</v>
      </c>
      <c r="K74" s="84">
        <f t="shared" si="57"/>
        <v>0</v>
      </c>
      <c r="L74" s="84">
        <f t="shared" si="57"/>
        <v>0</v>
      </c>
      <c r="M74" s="84">
        <f t="shared" si="57"/>
        <v>0</v>
      </c>
      <c r="N74" s="84">
        <f t="shared" si="57"/>
        <v>0</v>
      </c>
      <c r="O74" s="84">
        <f t="shared" si="57"/>
        <v>0</v>
      </c>
      <c r="P74" s="84">
        <f t="shared" si="57"/>
        <v>0</v>
      </c>
      <c r="Q74" s="84">
        <f t="shared" si="57"/>
        <v>0</v>
      </c>
      <c r="R74" s="84">
        <f t="shared" si="57"/>
        <v>0</v>
      </c>
      <c r="S74" s="84">
        <f>SUM(G74:R74)</f>
        <v>0</v>
      </c>
      <c r="U74" s="84">
        <f t="shared" ref="U74:AF74" si="58">U64+U73</f>
        <v>0</v>
      </c>
      <c r="V74" s="84">
        <f t="shared" si="58"/>
        <v>0</v>
      </c>
      <c r="W74" s="84">
        <f t="shared" si="58"/>
        <v>0</v>
      </c>
      <c r="X74" s="84">
        <f t="shared" si="58"/>
        <v>0</v>
      </c>
      <c r="Y74" s="84">
        <f t="shared" si="58"/>
        <v>0</v>
      </c>
      <c r="Z74" s="84">
        <f t="shared" si="58"/>
        <v>0</v>
      </c>
      <c r="AA74" s="84">
        <f t="shared" si="58"/>
        <v>0</v>
      </c>
      <c r="AB74" s="84">
        <f t="shared" si="58"/>
        <v>0</v>
      </c>
      <c r="AC74" s="84">
        <f t="shared" si="58"/>
        <v>0</v>
      </c>
      <c r="AD74" s="84">
        <f t="shared" si="58"/>
        <v>0</v>
      </c>
      <c r="AE74" s="84">
        <f t="shared" si="58"/>
        <v>0</v>
      </c>
      <c r="AF74" s="84">
        <f t="shared" si="58"/>
        <v>0</v>
      </c>
      <c r="AG74" s="84">
        <f>SUM(U74:AF74)</f>
        <v>0</v>
      </c>
    </row>
    <row r="75" spans="1:33" s="110" customFormat="1">
      <c r="A75" s="85">
        <v>9790</v>
      </c>
      <c r="B75" s="86" t="s">
        <v>129</v>
      </c>
      <c r="C75" s="56" t="e">
        <f t="shared" ref="C75:E75" si="59">C74/C10</f>
        <v>#DIV/0!</v>
      </c>
      <c r="D75" s="56" t="e">
        <f t="shared" si="59"/>
        <v>#DIV/0!</v>
      </c>
      <c r="E75" s="56" t="e">
        <f t="shared" si="59"/>
        <v>#DIV/0!</v>
      </c>
      <c r="G75" s="56" t="e">
        <f t="shared" ref="G75:S75" si="60">G74/G10</f>
        <v>#DIV/0!</v>
      </c>
      <c r="H75" s="56" t="e">
        <f t="shared" si="60"/>
        <v>#DIV/0!</v>
      </c>
      <c r="I75" s="56" t="e">
        <f t="shared" si="60"/>
        <v>#DIV/0!</v>
      </c>
      <c r="J75" s="56" t="e">
        <f t="shared" si="60"/>
        <v>#DIV/0!</v>
      </c>
      <c r="K75" s="56" t="e">
        <f t="shared" si="60"/>
        <v>#DIV/0!</v>
      </c>
      <c r="L75" s="56" t="e">
        <f t="shared" si="60"/>
        <v>#DIV/0!</v>
      </c>
      <c r="M75" s="56" t="e">
        <f t="shared" si="60"/>
        <v>#DIV/0!</v>
      </c>
      <c r="N75" s="56" t="e">
        <f t="shared" si="60"/>
        <v>#DIV/0!</v>
      </c>
      <c r="O75" s="56" t="e">
        <f t="shared" si="60"/>
        <v>#DIV/0!</v>
      </c>
      <c r="P75" s="56" t="e">
        <f t="shared" si="60"/>
        <v>#DIV/0!</v>
      </c>
      <c r="Q75" s="56" t="e">
        <f t="shared" si="60"/>
        <v>#DIV/0!</v>
      </c>
      <c r="R75" s="56" t="e">
        <f t="shared" si="60"/>
        <v>#DIV/0!</v>
      </c>
      <c r="S75" s="56" t="e">
        <f t="shared" si="60"/>
        <v>#DIV/0!</v>
      </c>
      <c r="T75" s="109"/>
      <c r="U75" s="56" t="e">
        <f t="shared" ref="U75:AG75" si="61">U74/U10</f>
        <v>#DIV/0!</v>
      </c>
      <c r="V75" s="56" t="e">
        <f t="shared" si="61"/>
        <v>#DIV/0!</v>
      </c>
      <c r="W75" s="56" t="e">
        <f t="shared" si="61"/>
        <v>#DIV/0!</v>
      </c>
      <c r="X75" s="56" t="e">
        <f t="shared" si="61"/>
        <v>#DIV/0!</v>
      </c>
      <c r="Y75" s="56" t="e">
        <f t="shared" si="61"/>
        <v>#DIV/0!</v>
      </c>
      <c r="Z75" s="56" t="e">
        <f t="shared" si="61"/>
        <v>#DIV/0!</v>
      </c>
      <c r="AA75" s="56" t="e">
        <f t="shared" si="61"/>
        <v>#DIV/0!</v>
      </c>
      <c r="AB75" s="56" t="e">
        <f t="shared" si="61"/>
        <v>#DIV/0!</v>
      </c>
      <c r="AC75" s="56" t="e">
        <f t="shared" si="61"/>
        <v>#DIV/0!</v>
      </c>
      <c r="AD75" s="56" t="e">
        <f t="shared" si="61"/>
        <v>#DIV/0!</v>
      </c>
      <c r="AE75" s="56" t="e">
        <f t="shared" si="61"/>
        <v>#DIV/0!</v>
      </c>
      <c r="AF75" s="56" t="e">
        <f t="shared" si="61"/>
        <v>#DIV/0!</v>
      </c>
      <c r="AG75" s="56" t="e">
        <f t="shared" si="61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U41" activePane="bottomRight" state="frozen"/>
      <selection activeCell="AG62" sqref="AG62"/>
      <selection pane="topRight" activeCell="AG62" sqref="AG62"/>
      <selection pane="bottomLeft" activeCell="AG62" sqref="AG62"/>
      <selection pane="bottomRight" activeCell="B42" sqref="B42"/>
    </sheetView>
  </sheetViews>
  <sheetFormatPr defaultColWidth="10.85546875" defaultRowHeight="15" outlineLevelRow="1" outlineLevelCol="1"/>
  <cols>
    <col min="1" max="1" width="7.42578125" style="45" hidden="1" customWidth="1" outlineLevel="1"/>
    <col min="2" max="2" width="36.7109375" style="45" bestFit="1" customWidth="1" collapsed="1"/>
    <col min="3" max="5" width="15.28515625" style="45" hidden="1" customWidth="1" outlineLevel="1"/>
    <col min="6" max="6" width="1.42578125" customWidth="1" collapsed="1"/>
    <col min="7" max="12" width="15.140625" style="45" customWidth="1" outlineLevel="1"/>
    <col min="13" max="18" width="13.28515625" style="45" customWidth="1" outlineLevel="1"/>
    <col min="19" max="19" width="17.85546875" style="45" customWidth="1"/>
    <col min="20" max="20" width="1.42578125" style="45" customWidth="1"/>
    <col min="21" max="32" width="11.140625" style="45" customWidth="1" outlineLevel="1"/>
    <col min="33" max="33" width="12.4257812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2200</v>
      </c>
      <c r="B2" s="232" t="s">
        <v>76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114">
        <v>43009</v>
      </c>
      <c r="Q2" s="114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115" t="s">
        <v>130</v>
      </c>
      <c r="Q3" s="115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116" t="s">
        <v>79</v>
      </c>
      <c r="Q4" s="116" t="s">
        <v>79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outlineLevel="1">
      <c r="A9" s="42">
        <v>1500</v>
      </c>
      <c r="B9" s="43" t="s">
        <v>84</v>
      </c>
      <c r="C9" s="44">
        <f>Najem!C24</f>
        <v>167651.14000000001</v>
      </c>
      <c r="D9" s="44">
        <f>Najem!D24</f>
        <v>136331.57500000001</v>
      </c>
      <c r="E9" s="44">
        <f>Najem!E24</f>
        <v>83023.403333333335</v>
      </c>
      <c r="G9" s="44">
        <f>Najem!G24</f>
        <v>71023.666666666657</v>
      </c>
      <c r="H9" s="44">
        <f>Najem!H24</f>
        <v>71023.666666666657</v>
      </c>
      <c r="I9" s="44">
        <f>Najem!I24</f>
        <v>83023.666666666657</v>
      </c>
      <c r="J9" s="44">
        <f>Najem!J24</f>
        <v>83023.666666666657</v>
      </c>
      <c r="K9" s="44">
        <f>Najem!K24</f>
        <v>83023.666666666657</v>
      </c>
      <c r="L9" s="44">
        <f>Najem!L24</f>
        <v>83023.666666666657</v>
      </c>
      <c r="M9" s="44">
        <f>Najem!M24</f>
        <v>57436.666666666664</v>
      </c>
      <c r="N9" s="44">
        <f>Najem!N24</f>
        <v>57436.666666666664</v>
      </c>
      <c r="O9" s="44">
        <f>Najem!O24</f>
        <v>57436.666666666664</v>
      </c>
      <c r="P9" s="44">
        <f>Najem!P24</f>
        <v>57436.666666666664</v>
      </c>
      <c r="Q9" s="44">
        <f>Najem!Q24</f>
        <v>57436.666666666664</v>
      </c>
      <c r="R9" s="44">
        <f>Najem!R24</f>
        <v>57436.666666666664</v>
      </c>
      <c r="S9" s="44">
        <f t="shared" si="0"/>
        <v>818761.99999999965</v>
      </c>
      <c r="U9" s="44">
        <f>Najem!U24</f>
        <v>57436.666666666664</v>
      </c>
      <c r="V9" s="44">
        <f>Najem!V24</f>
        <v>57436.666666666664</v>
      </c>
      <c r="W9" s="44">
        <f>Najem!W24</f>
        <v>57436.666666666664</v>
      </c>
      <c r="X9" s="44">
        <f>Najem!X24</f>
        <v>57436.666666666664</v>
      </c>
      <c r="Y9" s="44">
        <f>Najem!Y24</f>
        <v>46836.666666666664</v>
      </c>
      <c r="Z9" s="44">
        <f>Najem!Z24</f>
        <v>46836.666666666664</v>
      </c>
      <c r="AA9" s="44">
        <f>Najem!AA24</f>
        <v>46836.666666666664</v>
      </c>
      <c r="AB9" s="44">
        <f>Najem!AB24</f>
        <v>46836.666666666664</v>
      </c>
      <c r="AC9" s="44">
        <f>Najem!AC24</f>
        <v>46836.666666666664</v>
      </c>
      <c r="AD9" s="44">
        <f>Najem!AD24</f>
        <v>46836.666666666664</v>
      </c>
      <c r="AE9" s="44">
        <f>Najem!AE24</f>
        <v>46836.666666666664</v>
      </c>
      <c r="AF9" s="44">
        <f>Najem!AF24</f>
        <v>46836.666666666664</v>
      </c>
      <c r="AG9" s="44">
        <f t="shared" si="1"/>
        <v>604440</v>
      </c>
    </row>
    <row r="10" spans="1:33" s="100" customFormat="1">
      <c r="A10" s="122">
        <v>9000</v>
      </c>
      <c r="B10" s="123" t="s">
        <v>1</v>
      </c>
      <c r="C10" s="124">
        <f t="shared" ref="C10:E10" si="2">SUM(C5:C9)</f>
        <v>167651.14000000001</v>
      </c>
      <c r="D10" s="124">
        <f t="shared" si="2"/>
        <v>136331.57500000001</v>
      </c>
      <c r="E10" s="124">
        <f t="shared" si="2"/>
        <v>83023.403333333335</v>
      </c>
      <c r="G10" s="124">
        <f t="shared" ref="G10:K10" si="3">SUM(G5:G9)</f>
        <v>71023.666666666657</v>
      </c>
      <c r="H10" s="124">
        <f t="shared" si="3"/>
        <v>71023.666666666657</v>
      </c>
      <c r="I10" s="124">
        <f t="shared" si="3"/>
        <v>83023.666666666657</v>
      </c>
      <c r="J10" s="124">
        <f t="shared" si="3"/>
        <v>83023.666666666657</v>
      </c>
      <c r="K10" s="124">
        <f t="shared" si="3"/>
        <v>83023.666666666657</v>
      </c>
      <c r="L10" s="124">
        <f t="shared" ref="L10:R10" si="4">SUM(L5:L9)</f>
        <v>83023.666666666657</v>
      </c>
      <c r="M10" s="124">
        <f t="shared" si="4"/>
        <v>57436.666666666664</v>
      </c>
      <c r="N10" s="124">
        <f t="shared" si="4"/>
        <v>57436.666666666664</v>
      </c>
      <c r="O10" s="124">
        <f t="shared" si="4"/>
        <v>57436.666666666664</v>
      </c>
      <c r="P10" s="124">
        <f t="shared" si="4"/>
        <v>57436.666666666664</v>
      </c>
      <c r="Q10" s="124">
        <f t="shared" si="4"/>
        <v>57436.666666666664</v>
      </c>
      <c r="R10" s="124">
        <f t="shared" si="4"/>
        <v>57436.666666666664</v>
      </c>
      <c r="S10" s="124">
        <f t="shared" si="0"/>
        <v>818761.99999999965</v>
      </c>
      <c r="U10" s="124">
        <f t="shared" ref="U10:AF10" si="5">SUM(U5:U9)</f>
        <v>57436.666666666664</v>
      </c>
      <c r="V10" s="124">
        <f t="shared" si="5"/>
        <v>57436.666666666664</v>
      </c>
      <c r="W10" s="124">
        <f t="shared" si="5"/>
        <v>57436.666666666664</v>
      </c>
      <c r="X10" s="124">
        <f t="shared" si="5"/>
        <v>57436.666666666664</v>
      </c>
      <c r="Y10" s="124">
        <f t="shared" si="5"/>
        <v>46836.666666666664</v>
      </c>
      <c r="Z10" s="124">
        <f t="shared" si="5"/>
        <v>46836.666666666664</v>
      </c>
      <c r="AA10" s="124">
        <f t="shared" si="5"/>
        <v>46836.666666666664</v>
      </c>
      <c r="AB10" s="124">
        <f t="shared" si="5"/>
        <v>46836.666666666664</v>
      </c>
      <c r="AC10" s="124">
        <f t="shared" si="5"/>
        <v>46836.666666666664</v>
      </c>
      <c r="AD10" s="124">
        <f t="shared" si="5"/>
        <v>46836.666666666664</v>
      </c>
      <c r="AE10" s="124">
        <f t="shared" si="5"/>
        <v>46836.666666666664</v>
      </c>
      <c r="AF10" s="124">
        <f t="shared" si="5"/>
        <v>46836.666666666664</v>
      </c>
      <c r="AG10" s="124">
        <f t="shared" si="1"/>
        <v>604440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6">SUM(C11:C13)</f>
        <v>0</v>
      </c>
      <c r="D14" s="107">
        <f t="shared" si="6"/>
        <v>0</v>
      </c>
      <c r="E14" s="107">
        <f t="shared" si="6"/>
        <v>0</v>
      </c>
      <c r="G14" s="107">
        <f t="shared" ref="G14:K14" si="7">SUM(G11:G13)</f>
        <v>0</v>
      </c>
      <c r="H14" s="107">
        <f t="shared" si="7"/>
        <v>0</v>
      </c>
      <c r="I14" s="107">
        <f t="shared" si="7"/>
        <v>0</v>
      </c>
      <c r="J14" s="107">
        <f t="shared" si="7"/>
        <v>0</v>
      </c>
      <c r="K14" s="107">
        <f t="shared" si="7"/>
        <v>0</v>
      </c>
      <c r="L14" s="107">
        <f t="shared" ref="L14:R14" si="8">SUM(L11:L13)</f>
        <v>0</v>
      </c>
      <c r="M14" s="107">
        <f t="shared" si="8"/>
        <v>0</v>
      </c>
      <c r="N14" s="107">
        <f t="shared" si="8"/>
        <v>0</v>
      </c>
      <c r="O14" s="107">
        <f t="shared" si="8"/>
        <v>0</v>
      </c>
      <c r="P14" s="107">
        <f t="shared" si="8"/>
        <v>0</v>
      </c>
      <c r="Q14" s="107">
        <f t="shared" si="8"/>
        <v>0</v>
      </c>
      <c r="R14" s="107">
        <f t="shared" si="8"/>
        <v>0</v>
      </c>
      <c r="S14" s="107">
        <f t="shared" si="0"/>
        <v>0</v>
      </c>
      <c r="U14" s="107">
        <f t="shared" ref="U14:AF14" si="9">SUM(U11:U13)</f>
        <v>0</v>
      </c>
      <c r="V14" s="107">
        <f t="shared" si="9"/>
        <v>0</v>
      </c>
      <c r="W14" s="107">
        <f t="shared" si="9"/>
        <v>0</v>
      </c>
      <c r="X14" s="107">
        <f t="shared" si="9"/>
        <v>0</v>
      </c>
      <c r="Y14" s="107">
        <f t="shared" si="9"/>
        <v>0</v>
      </c>
      <c r="Z14" s="107">
        <f t="shared" si="9"/>
        <v>0</v>
      </c>
      <c r="AA14" s="107">
        <f t="shared" si="9"/>
        <v>0</v>
      </c>
      <c r="AB14" s="107">
        <f t="shared" si="9"/>
        <v>0</v>
      </c>
      <c r="AC14" s="107">
        <f t="shared" si="9"/>
        <v>0</v>
      </c>
      <c r="AD14" s="107">
        <f t="shared" si="9"/>
        <v>0</v>
      </c>
      <c r="AE14" s="107">
        <f t="shared" si="9"/>
        <v>0</v>
      </c>
      <c r="AF14" s="107">
        <f t="shared" si="9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outlineLevel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 outlineLevel="1">
      <c r="A18" s="45">
        <v>9120</v>
      </c>
      <c r="B18" s="46" t="s">
        <v>92</v>
      </c>
      <c r="C18" s="107">
        <f t="shared" ref="C18:E18" si="10">SUM(C15:C17)</f>
        <v>0</v>
      </c>
      <c r="D18" s="107">
        <f t="shared" si="10"/>
        <v>0</v>
      </c>
      <c r="E18" s="107">
        <f t="shared" si="10"/>
        <v>0</v>
      </c>
      <c r="G18" s="107">
        <f t="shared" ref="G18:K18" si="11">SUM(G15:G17)</f>
        <v>0</v>
      </c>
      <c r="H18" s="107">
        <f t="shared" si="11"/>
        <v>0</v>
      </c>
      <c r="I18" s="107">
        <f t="shared" si="11"/>
        <v>0</v>
      </c>
      <c r="J18" s="107">
        <f t="shared" si="11"/>
        <v>0</v>
      </c>
      <c r="K18" s="107">
        <f t="shared" si="11"/>
        <v>0</v>
      </c>
      <c r="L18" s="107">
        <f t="shared" ref="L18:R18" si="12">SUM(L15:L17)</f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0"/>
        <v>0</v>
      </c>
      <c r="U18" s="107">
        <f t="shared" ref="U18:AF18" si="13">SUM(U15:U17)</f>
        <v>0</v>
      </c>
      <c r="V18" s="107">
        <f t="shared" si="13"/>
        <v>0</v>
      </c>
      <c r="W18" s="107">
        <f t="shared" si="13"/>
        <v>0</v>
      </c>
      <c r="X18" s="107">
        <f t="shared" si="13"/>
        <v>0</v>
      </c>
      <c r="Y18" s="107">
        <f t="shared" si="13"/>
        <v>0</v>
      </c>
      <c r="Z18" s="107">
        <f t="shared" si="13"/>
        <v>0</v>
      </c>
      <c r="AA18" s="107">
        <f t="shared" si="13"/>
        <v>0</v>
      </c>
      <c r="AB18" s="107">
        <f t="shared" si="13"/>
        <v>0</v>
      </c>
      <c r="AC18" s="107">
        <f t="shared" si="13"/>
        <v>0</v>
      </c>
      <c r="AD18" s="107">
        <f t="shared" si="13"/>
        <v>0</v>
      </c>
      <c r="AE18" s="107">
        <f t="shared" si="13"/>
        <v>0</v>
      </c>
      <c r="AF18" s="107">
        <f t="shared" si="13"/>
        <v>0</v>
      </c>
      <c r="AG18" s="107">
        <f t="shared" si="1"/>
        <v>0</v>
      </c>
    </row>
    <row r="19" spans="1:43" s="96" customFormat="1" ht="24" hidden="1" customHeight="1" outlineLevel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 outlineLevel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4">SUM(C14,C18,C19,C20)</f>
        <v>0</v>
      </c>
      <c r="D21" s="107">
        <f t="shared" si="14"/>
        <v>0</v>
      </c>
      <c r="E21" s="107">
        <f t="shared" si="14"/>
        <v>0</v>
      </c>
      <c r="G21" s="107">
        <f t="shared" ref="G21:K21" si="15">SUM(G14,G18,G19,G20)</f>
        <v>0</v>
      </c>
      <c r="H21" s="107">
        <f t="shared" si="15"/>
        <v>0</v>
      </c>
      <c r="I21" s="107">
        <f t="shared" si="15"/>
        <v>0</v>
      </c>
      <c r="J21" s="107">
        <f t="shared" si="15"/>
        <v>0</v>
      </c>
      <c r="K21" s="107">
        <f t="shared" si="15"/>
        <v>0</v>
      </c>
      <c r="L21" s="107">
        <f t="shared" ref="L21:R21" si="16">SUM(L14,L18,L19,L20)</f>
        <v>0</v>
      </c>
      <c r="M21" s="107">
        <f t="shared" si="16"/>
        <v>0</v>
      </c>
      <c r="N21" s="107">
        <f t="shared" si="16"/>
        <v>0</v>
      </c>
      <c r="O21" s="107">
        <f t="shared" si="16"/>
        <v>0</v>
      </c>
      <c r="P21" s="107">
        <f t="shared" si="16"/>
        <v>0</v>
      </c>
      <c r="Q21" s="107">
        <f t="shared" si="16"/>
        <v>0</v>
      </c>
      <c r="R21" s="107">
        <f t="shared" si="16"/>
        <v>0</v>
      </c>
      <c r="S21" s="107">
        <f t="shared" si="0"/>
        <v>0</v>
      </c>
      <c r="U21" s="107">
        <f t="shared" ref="U21:AF21" si="17">SUM(U14,U18,U19,U20)</f>
        <v>0</v>
      </c>
      <c r="V21" s="107">
        <f t="shared" si="17"/>
        <v>0</v>
      </c>
      <c r="W21" s="107">
        <f t="shared" si="17"/>
        <v>0</v>
      </c>
      <c r="X21" s="107">
        <f t="shared" si="17"/>
        <v>0</v>
      </c>
      <c r="Y21" s="107">
        <f t="shared" si="17"/>
        <v>0</v>
      </c>
      <c r="Z21" s="107">
        <f t="shared" si="17"/>
        <v>0</v>
      </c>
      <c r="AA21" s="107">
        <f t="shared" si="17"/>
        <v>0</v>
      </c>
      <c r="AB21" s="107">
        <f t="shared" si="17"/>
        <v>0</v>
      </c>
      <c r="AC21" s="107">
        <f t="shared" si="17"/>
        <v>0</v>
      </c>
      <c r="AD21" s="107">
        <f t="shared" si="17"/>
        <v>0</v>
      </c>
      <c r="AE21" s="107">
        <f t="shared" si="17"/>
        <v>0</v>
      </c>
      <c r="AF21" s="107">
        <f t="shared" si="17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t="21.95" hidden="1" customHeight="1" outlineLevel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8">P5-P14</f>
        <v>0</v>
      </c>
      <c r="Q22" s="51">
        <f t="shared" si="18"/>
        <v>0</v>
      </c>
      <c r="R22" s="51">
        <f t="shared" si="18"/>
        <v>0</v>
      </c>
      <c r="S22" s="51">
        <f t="shared" si="0"/>
        <v>0</v>
      </c>
      <c r="U22" s="51">
        <f t="shared" ref="U22:AF22" si="19">U5-U14</f>
        <v>0</v>
      </c>
      <c r="V22" s="51">
        <f t="shared" si="19"/>
        <v>0</v>
      </c>
      <c r="W22" s="51">
        <f t="shared" si="19"/>
        <v>0</v>
      </c>
      <c r="X22" s="51">
        <f t="shared" si="19"/>
        <v>0</v>
      </c>
      <c r="Y22" s="51">
        <f t="shared" si="19"/>
        <v>0</v>
      </c>
      <c r="Z22" s="51">
        <f t="shared" si="19"/>
        <v>0</v>
      </c>
      <c r="AA22" s="51">
        <f t="shared" si="19"/>
        <v>0</v>
      </c>
      <c r="AB22" s="51">
        <f t="shared" si="19"/>
        <v>0</v>
      </c>
      <c r="AC22" s="51">
        <f t="shared" si="19"/>
        <v>0</v>
      </c>
      <c r="AD22" s="51">
        <f t="shared" si="19"/>
        <v>0</v>
      </c>
      <c r="AE22" s="51">
        <f t="shared" si="19"/>
        <v>0</v>
      </c>
      <c r="AF22" s="51">
        <f t="shared" si="19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 outlineLevel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20">P6-P18</f>
        <v>0</v>
      </c>
      <c r="Q23" s="51">
        <f t="shared" si="20"/>
        <v>0</v>
      </c>
      <c r="R23" s="51">
        <f t="shared" si="20"/>
        <v>0</v>
      </c>
      <c r="S23" s="51">
        <f t="shared" si="0"/>
        <v>0</v>
      </c>
      <c r="U23" s="51">
        <f t="shared" ref="U23:AF25" si="21">U6-U18</f>
        <v>0</v>
      </c>
      <c r="V23" s="51">
        <f t="shared" si="21"/>
        <v>0</v>
      </c>
      <c r="W23" s="51">
        <f t="shared" si="21"/>
        <v>0</v>
      </c>
      <c r="X23" s="51">
        <f t="shared" si="21"/>
        <v>0</v>
      </c>
      <c r="Y23" s="51">
        <f t="shared" si="21"/>
        <v>0</v>
      </c>
      <c r="Z23" s="51">
        <f t="shared" si="21"/>
        <v>0</v>
      </c>
      <c r="AA23" s="51">
        <f t="shared" si="21"/>
        <v>0</v>
      </c>
      <c r="AB23" s="51">
        <f t="shared" si="21"/>
        <v>0</v>
      </c>
      <c r="AC23" s="51">
        <f t="shared" si="21"/>
        <v>0</v>
      </c>
      <c r="AD23" s="51">
        <f t="shared" si="21"/>
        <v>0</v>
      </c>
      <c r="AE23" s="51">
        <f t="shared" si="21"/>
        <v>0</v>
      </c>
      <c r="AF23" s="51">
        <f t="shared" si="21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 outlineLevel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20"/>
        <v>0</v>
      </c>
      <c r="Q24" s="51">
        <f t="shared" si="20"/>
        <v>0</v>
      </c>
      <c r="R24" s="51">
        <f t="shared" si="20"/>
        <v>0</v>
      </c>
      <c r="S24" s="51">
        <f t="shared" si="0"/>
        <v>0</v>
      </c>
      <c r="U24" s="51">
        <f t="shared" si="21"/>
        <v>0</v>
      </c>
      <c r="V24" s="51">
        <f t="shared" si="21"/>
        <v>0</v>
      </c>
      <c r="W24" s="51">
        <f t="shared" si="21"/>
        <v>0</v>
      </c>
      <c r="X24" s="51">
        <f t="shared" si="21"/>
        <v>0</v>
      </c>
      <c r="Y24" s="51">
        <f t="shared" si="21"/>
        <v>0</v>
      </c>
      <c r="Z24" s="51">
        <f t="shared" si="21"/>
        <v>0</v>
      </c>
      <c r="AA24" s="51">
        <f t="shared" si="21"/>
        <v>0</v>
      </c>
      <c r="AB24" s="51">
        <f t="shared" si="21"/>
        <v>0</v>
      </c>
      <c r="AC24" s="51">
        <f t="shared" si="21"/>
        <v>0</v>
      </c>
      <c r="AD24" s="51">
        <f t="shared" si="21"/>
        <v>0</v>
      </c>
      <c r="AE24" s="51">
        <f t="shared" si="21"/>
        <v>0</v>
      </c>
      <c r="AF24" s="51">
        <f t="shared" si="21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 outlineLevel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20"/>
        <v>0</v>
      </c>
      <c r="Q25" s="51">
        <f t="shared" si="20"/>
        <v>0</v>
      </c>
      <c r="R25" s="51">
        <f t="shared" si="20"/>
        <v>0</v>
      </c>
      <c r="S25" s="51">
        <f t="shared" si="0"/>
        <v>0</v>
      </c>
      <c r="U25" s="51">
        <f t="shared" si="21"/>
        <v>0</v>
      </c>
      <c r="V25" s="51">
        <f t="shared" si="21"/>
        <v>0</v>
      </c>
      <c r="W25" s="51">
        <f t="shared" si="21"/>
        <v>0</v>
      </c>
      <c r="X25" s="51">
        <f t="shared" si="21"/>
        <v>0</v>
      </c>
      <c r="Y25" s="51">
        <f t="shared" si="21"/>
        <v>0</v>
      </c>
      <c r="Z25" s="51">
        <f t="shared" si="21"/>
        <v>0</v>
      </c>
      <c r="AA25" s="51">
        <f t="shared" si="21"/>
        <v>0</v>
      </c>
      <c r="AB25" s="51">
        <f t="shared" si="21"/>
        <v>0</v>
      </c>
      <c r="AC25" s="51">
        <f t="shared" si="21"/>
        <v>0</v>
      </c>
      <c r="AD25" s="51">
        <f t="shared" si="21"/>
        <v>0</v>
      </c>
      <c r="AE25" s="51">
        <f t="shared" si="21"/>
        <v>0</v>
      </c>
      <c r="AF25" s="51">
        <f t="shared" si="21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 outlineLevel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57436.666666666664</v>
      </c>
      <c r="Q26" s="51">
        <f t="shared" ref="Q26:S26" si="22">Q9</f>
        <v>57436.666666666664</v>
      </c>
      <c r="R26" s="51">
        <f t="shared" si="22"/>
        <v>57436.666666666664</v>
      </c>
      <c r="S26" s="51">
        <f t="shared" si="22"/>
        <v>818761.99999999965</v>
      </c>
      <c r="U26" s="51">
        <f t="shared" ref="U26:AF26" si="23">U9</f>
        <v>57436.666666666664</v>
      </c>
      <c r="V26" s="51">
        <f t="shared" si="23"/>
        <v>57436.666666666664</v>
      </c>
      <c r="W26" s="51">
        <f t="shared" si="23"/>
        <v>57436.666666666664</v>
      </c>
      <c r="X26" s="51">
        <f t="shared" si="23"/>
        <v>57436.666666666664</v>
      </c>
      <c r="Y26" s="51">
        <f t="shared" si="23"/>
        <v>46836.666666666664</v>
      </c>
      <c r="Z26" s="51">
        <f t="shared" si="23"/>
        <v>46836.666666666664</v>
      </c>
      <c r="AA26" s="51">
        <f t="shared" si="23"/>
        <v>46836.666666666664</v>
      </c>
      <c r="AB26" s="51">
        <f t="shared" si="23"/>
        <v>46836.666666666664</v>
      </c>
      <c r="AC26" s="51">
        <f t="shared" si="23"/>
        <v>46836.666666666664</v>
      </c>
      <c r="AD26" s="51">
        <f t="shared" si="23"/>
        <v>46836.666666666664</v>
      </c>
      <c r="AE26" s="51">
        <f t="shared" si="23"/>
        <v>46836.666666666664</v>
      </c>
      <c r="AF26" s="51">
        <f t="shared" si="23"/>
        <v>46836.666666666664</v>
      </c>
      <c r="AG26" s="51">
        <f t="shared" ref="AG26" si="24">SUM(U26:AF26)</f>
        <v>604440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5">M10-M21</f>
        <v>57436.666666666664</v>
      </c>
      <c r="N27" s="53">
        <f t="shared" si="25"/>
        <v>57436.666666666664</v>
      </c>
      <c r="O27" s="53">
        <f t="shared" si="25"/>
        <v>57436.666666666664</v>
      </c>
      <c r="P27" s="53">
        <f t="shared" si="25"/>
        <v>57436.666666666664</v>
      </c>
      <c r="Q27" s="53">
        <f t="shared" si="25"/>
        <v>57436.666666666664</v>
      </c>
      <c r="R27" s="53">
        <f t="shared" si="25"/>
        <v>57436.666666666664</v>
      </c>
      <c r="S27" s="53">
        <f>SUM(G27:R27)</f>
        <v>344620</v>
      </c>
      <c r="U27" s="53">
        <f t="shared" ref="U27:AF27" si="26">U10-U21</f>
        <v>57436.666666666664</v>
      </c>
      <c r="V27" s="53">
        <f t="shared" si="26"/>
        <v>57436.666666666664</v>
      </c>
      <c r="W27" s="53">
        <f t="shared" si="26"/>
        <v>57436.666666666664</v>
      </c>
      <c r="X27" s="53">
        <f t="shared" si="26"/>
        <v>57436.666666666664</v>
      </c>
      <c r="Y27" s="53">
        <f t="shared" si="26"/>
        <v>46836.666666666664</v>
      </c>
      <c r="Z27" s="53">
        <f t="shared" si="26"/>
        <v>46836.666666666664</v>
      </c>
      <c r="AA27" s="53">
        <f t="shared" si="26"/>
        <v>46836.666666666664</v>
      </c>
      <c r="AB27" s="53">
        <f t="shared" si="26"/>
        <v>46836.666666666664</v>
      </c>
      <c r="AC27" s="53">
        <f t="shared" si="26"/>
        <v>46836.666666666664</v>
      </c>
      <c r="AD27" s="53">
        <f t="shared" si="26"/>
        <v>46836.666666666664</v>
      </c>
      <c r="AE27" s="53">
        <f t="shared" si="26"/>
        <v>46836.666666666664</v>
      </c>
      <c r="AF27" s="53">
        <f t="shared" si="26"/>
        <v>46836.666666666664</v>
      </c>
      <c r="AG27" s="53">
        <f t="shared" si="1"/>
        <v>604440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t="26.1" hidden="1" customHeight="1" outlineLevel="1">
      <c r="A28" s="79">
        <v>9291</v>
      </c>
      <c r="B28" s="118" t="s">
        <v>97</v>
      </c>
      <c r="C28" s="119">
        <f t="shared" ref="C28:E32" si="27">IF(C5=0,0,C22/C5)</f>
        <v>0</v>
      </c>
      <c r="D28" s="119">
        <f t="shared" si="27"/>
        <v>0</v>
      </c>
      <c r="E28" s="119">
        <f t="shared" si="27"/>
        <v>0</v>
      </c>
      <c r="G28" s="119">
        <f t="shared" ref="G28:K28" si="28">IF(G5=0,0,G22/G5)</f>
        <v>0</v>
      </c>
      <c r="H28" s="119">
        <f t="shared" si="28"/>
        <v>0</v>
      </c>
      <c r="I28" s="119">
        <f t="shared" si="28"/>
        <v>0</v>
      </c>
      <c r="J28" s="119">
        <f t="shared" si="28"/>
        <v>0</v>
      </c>
      <c r="K28" s="119">
        <f t="shared" si="28"/>
        <v>0</v>
      </c>
      <c r="L28" s="119">
        <f t="shared" ref="L28:S32" si="29">IF(L5=0,0,L22/L5)</f>
        <v>0</v>
      </c>
      <c r="M28" s="119">
        <f t="shared" si="29"/>
        <v>0</v>
      </c>
      <c r="N28" s="119">
        <f t="shared" si="29"/>
        <v>0</v>
      </c>
      <c r="O28" s="119">
        <f t="shared" si="29"/>
        <v>0</v>
      </c>
      <c r="P28" s="119">
        <f t="shared" si="29"/>
        <v>0</v>
      </c>
      <c r="Q28" s="119">
        <f t="shared" si="29"/>
        <v>0</v>
      </c>
      <c r="R28" s="119">
        <f t="shared" si="29"/>
        <v>0</v>
      </c>
      <c r="S28" s="119">
        <f t="shared" si="29"/>
        <v>0</v>
      </c>
      <c r="T28" s="102"/>
      <c r="U28" s="119">
        <f t="shared" ref="U28:AG28" si="30">IF(U5=0,0,U22/U5)</f>
        <v>0</v>
      </c>
      <c r="V28" s="119">
        <f t="shared" si="30"/>
        <v>0</v>
      </c>
      <c r="W28" s="119">
        <f t="shared" si="30"/>
        <v>0</v>
      </c>
      <c r="X28" s="119">
        <f t="shared" si="30"/>
        <v>0</v>
      </c>
      <c r="Y28" s="119">
        <f t="shared" si="30"/>
        <v>0</v>
      </c>
      <c r="Z28" s="119">
        <f t="shared" si="30"/>
        <v>0</v>
      </c>
      <c r="AA28" s="119">
        <f t="shared" si="30"/>
        <v>0</v>
      </c>
      <c r="AB28" s="119">
        <f t="shared" si="30"/>
        <v>0</v>
      </c>
      <c r="AC28" s="119">
        <f t="shared" si="30"/>
        <v>0</v>
      </c>
      <c r="AD28" s="119">
        <f t="shared" si="30"/>
        <v>0</v>
      </c>
      <c r="AE28" s="119">
        <f t="shared" si="30"/>
        <v>0</v>
      </c>
      <c r="AF28" s="119">
        <f t="shared" si="30"/>
        <v>0</v>
      </c>
      <c r="AG28" s="119">
        <f t="shared" si="30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 outlineLevel="1">
      <c r="A29" s="79">
        <v>9292</v>
      </c>
      <c r="B29" s="118" t="s">
        <v>6</v>
      </c>
      <c r="C29" s="119">
        <f t="shared" si="27"/>
        <v>0</v>
      </c>
      <c r="D29" s="119">
        <f t="shared" si="27"/>
        <v>0</v>
      </c>
      <c r="E29" s="119">
        <f t="shared" si="27"/>
        <v>0</v>
      </c>
      <c r="G29" s="119">
        <f t="shared" ref="G29:K29" si="31">IF(G6=0,0,G23/G6)</f>
        <v>0</v>
      </c>
      <c r="H29" s="119">
        <f t="shared" si="31"/>
        <v>0</v>
      </c>
      <c r="I29" s="119">
        <f t="shared" si="31"/>
        <v>0</v>
      </c>
      <c r="J29" s="119">
        <f t="shared" si="31"/>
        <v>0</v>
      </c>
      <c r="K29" s="119">
        <f t="shared" si="31"/>
        <v>0</v>
      </c>
      <c r="L29" s="119">
        <f t="shared" si="29"/>
        <v>0</v>
      </c>
      <c r="M29" s="119">
        <f t="shared" si="29"/>
        <v>0</v>
      </c>
      <c r="N29" s="119">
        <f t="shared" si="29"/>
        <v>0</v>
      </c>
      <c r="O29" s="119">
        <f t="shared" si="29"/>
        <v>0</v>
      </c>
      <c r="P29" s="119">
        <f t="shared" si="29"/>
        <v>0</v>
      </c>
      <c r="Q29" s="119">
        <f t="shared" si="29"/>
        <v>0</v>
      </c>
      <c r="R29" s="119">
        <f t="shared" si="29"/>
        <v>0</v>
      </c>
      <c r="S29" s="119">
        <f t="shared" si="29"/>
        <v>0</v>
      </c>
      <c r="T29" s="102"/>
      <c r="U29" s="119">
        <f t="shared" ref="U29:AG29" si="32">IF(U6=0,0,U23/U6)</f>
        <v>0</v>
      </c>
      <c r="V29" s="119">
        <f t="shared" si="32"/>
        <v>0</v>
      </c>
      <c r="W29" s="119">
        <f t="shared" si="32"/>
        <v>0</v>
      </c>
      <c r="X29" s="119">
        <f t="shared" si="32"/>
        <v>0</v>
      </c>
      <c r="Y29" s="119">
        <f t="shared" si="32"/>
        <v>0</v>
      </c>
      <c r="Z29" s="119">
        <f t="shared" si="32"/>
        <v>0</v>
      </c>
      <c r="AA29" s="119">
        <f t="shared" si="32"/>
        <v>0</v>
      </c>
      <c r="AB29" s="119">
        <f t="shared" si="32"/>
        <v>0</v>
      </c>
      <c r="AC29" s="119">
        <f t="shared" si="32"/>
        <v>0</v>
      </c>
      <c r="AD29" s="119">
        <f t="shared" si="32"/>
        <v>0</v>
      </c>
      <c r="AE29" s="119">
        <f t="shared" si="32"/>
        <v>0</v>
      </c>
      <c r="AF29" s="119">
        <f t="shared" si="32"/>
        <v>0</v>
      </c>
      <c r="AG29" s="119">
        <f t="shared" si="32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 outlineLevel="1">
      <c r="A30" s="79">
        <v>9293</v>
      </c>
      <c r="B30" s="118" t="s">
        <v>7</v>
      </c>
      <c r="C30" s="119">
        <f t="shared" si="27"/>
        <v>0</v>
      </c>
      <c r="D30" s="119">
        <f t="shared" si="27"/>
        <v>0</v>
      </c>
      <c r="E30" s="119">
        <f t="shared" si="27"/>
        <v>0</v>
      </c>
      <c r="G30" s="119">
        <f t="shared" ref="G30:K30" si="33">IF(G7=0,0,G24/G7)</f>
        <v>0</v>
      </c>
      <c r="H30" s="119">
        <f t="shared" si="33"/>
        <v>0</v>
      </c>
      <c r="I30" s="119">
        <f t="shared" si="33"/>
        <v>0</v>
      </c>
      <c r="J30" s="119">
        <f t="shared" si="33"/>
        <v>0</v>
      </c>
      <c r="K30" s="119">
        <f t="shared" si="33"/>
        <v>0</v>
      </c>
      <c r="L30" s="119">
        <f t="shared" si="29"/>
        <v>0</v>
      </c>
      <c r="M30" s="119">
        <f t="shared" si="29"/>
        <v>0</v>
      </c>
      <c r="N30" s="119">
        <f t="shared" si="29"/>
        <v>0</v>
      </c>
      <c r="O30" s="119">
        <f t="shared" si="29"/>
        <v>0</v>
      </c>
      <c r="P30" s="119">
        <f t="shared" si="29"/>
        <v>0</v>
      </c>
      <c r="Q30" s="119">
        <f t="shared" si="29"/>
        <v>0</v>
      </c>
      <c r="R30" s="119">
        <f t="shared" si="29"/>
        <v>0</v>
      </c>
      <c r="S30" s="119">
        <f t="shared" si="29"/>
        <v>0</v>
      </c>
      <c r="T30" s="102"/>
      <c r="U30" s="119">
        <f t="shared" ref="U30:AG30" si="34">IF(U7=0,0,U24/U7)</f>
        <v>0</v>
      </c>
      <c r="V30" s="119">
        <f t="shared" si="34"/>
        <v>0</v>
      </c>
      <c r="W30" s="119">
        <f t="shared" si="34"/>
        <v>0</v>
      </c>
      <c r="X30" s="119">
        <f t="shared" si="34"/>
        <v>0</v>
      </c>
      <c r="Y30" s="119">
        <f t="shared" si="34"/>
        <v>0</v>
      </c>
      <c r="Z30" s="119">
        <f t="shared" si="34"/>
        <v>0</v>
      </c>
      <c r="AA30" s="119">
        <f t="shared" si="34"/>
        <v>0</v>
      </c>
      <c r="AB30" s="119">
        <f t="shared" si="34"/>
        <v>0</v>
      </c>
      <c r="AC30" s="119">
        <f t="shared" si="34"/>
        <v>0</v>
      </c>
      <c r="AD30" s="119">
        <f t="shared" si="34"/>
        <v>0</v>
      </c>
      <c r="AE30" s="119">
        <f t="shared" si="34"/>
        <v>0</v>
      </c>
      <c r="AF30" s="119">
        <f t="shared" si="34"/>
        <v>0</v>
      </c>
      <c r="AG30" s="119">
        <f t="shared" si="34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 outlineLevel="1">
      <c r="A31" s="79">
        <v>9294</v>
      </c>
      <c r="B31" s="118" t="s">
        <v>98</v>
      </c>
      <c r="C31" s="119">
        <f t="shared" si="27"/>
        <v>0</v>
      </c>
      <c r="D31" s="119">
        <f t="shared" si="27"/>
        <v>0</v>
      </c>
      <c r="E31" s="119">
        <f t="shared" si="27"/>
        <v>0</v>
      </c>
      <c r="G31" s="119">
        <f t="shared" ref="G31:K31" si="35">IF(G8=0,0,G25/G8)</f>
        <v>0</v>
      </c>
      <c r="H31" s="119">
        <f t="shared" si="35"/>
        <v>0</v>
      </c>
      <c r="I31" s="119">
        <f t="shared" si="35"/>
        <v>0</v>
      </c>
      <c r="J31" s="119">
        <f t="shared" si="35"/>
        <v>0</v>
      </c>
      <c r="K31" s="119">
        <f t="shared" si="35"/>
        <v>0</v>
      </c>
      <c r="L31" s="119">
        <f t="shared" si="29"/>
        <v>0</v>
      </c>
      <c r="M31" s="119">
        <f t="shared" si="29"/>
        <v>0</v>
      </c>
      <c r="N31" s="119">
        <f t="shared" si="29"/>
        <v>0</v>
      </c>
      <c r="O31" s="119">
        <f t="shared" si="29"/>
        <v>0</v>
      </c>
      <c r="P31" s="119">
        <f t="shared" si="29"/>
        <v>0</v>
      </c>
      <c r="Q31" s="119">
        <f t="shared" si="29"/>
        <v>0</v>
      </c>
      <c r="R31" s="119">
        <f t="shared" si="29"/>
        <v>0</v>
      </c>
      <c r="S31" s="119">
        <f t="shared" si="29"/>
        <v>0</v>
      </c>
      <c r="T31" s="102"/>
      <c r="U31" s="119">
        <f t="shared" ref="U31:AG31" si="36">IF(U8=0,0,U25/U8)</f>
        <v>0</v>
      </c>
      <c r="V31" s="119">
        <f t="shared" si="36"/>
        <v>0</v>
      </c>
      <c r="W31" s="119">
        <f t="shared" si="36"/>
        <v>0</v>
      </c>
      <c r="X31" s="119">
        <f t="shared" si="36"/>
        <v>0</v>
      </c>
      <c r="Y31" s="119">
        <f t="shared" si="36"/>
        <v>0</v>
      </c>
      <c r="Z31" s="119">
        <f t="shared" si="36"/>
        <v>0</v>
      </c>
      <c r="AA31" s="119">
        <f t="shared" si="36"/>
        <v>0</v>
      </c>
      <c r="AB31" s="119">
        <f t="shared" si="36"/>
        <v>0</v>
      </c>
      <c r="AC31" s="119">
        <f t="shared" si="36"/>
        <v>0</v>
      </c>
      <c r="AD31" s="119">
        <f t="shared" si="36"/>
        <v>0</v>
      </c>
      <c r="AE31" s="119">
        <f t="shared" si="36"/>
        <v>0</v>
      </c>
      <c r="AF31" s="119">
        <f t="shared" si="36"/>
        <v>0</v>
      </c>
      <c r="AG31" s="119">
        <f t="shared" si="36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 outlineLevel="1">
      <c r="A32" s="79">
        <v>9294</v>
      </c>
      <c r="B32" s="118" t="s">
        <v>172</v>
      </c>
      <c r="C32" s="119">
        <f t="shared" si="27"/>
        <v>0</v>
      </c>
      <c r="D32" s="119">
        <f t="shared" si="27"/>
        <v>0</v>
      </c>
      <c r="E32" s="119">
        <f t="shared" si="27"/>
        <v>0</v>
      </c>
      <c r="G32" s="119">
        <f t="shared" ref="G32:K32" si="37">IF(G9=0,0,G26/G9)</f>
        <v>0</v>
      </c>
      <c r="H32" s="119">
        <f t="shared" si="37"/>
        <v>0</v>
      </c>
      <c r="I32" s="119">
        <f t="shared" si="37"/>
        <v>0</v>
      </c>
      <c r="J32" s="119">
        <f t="shared" si="37"/>
        <v>0</v>
      </c>
      <c r="K32" s="119">
        <f t="shared" si="37"/>
        <v>0</v>
      </c>
      <c r="L32" s="119">
        <f t="shared" si="29"/>
        <v>0</v>
      </c>
      <c r="M32" s="119">
        <f t="shared" si="29"/>
        <v>0</v>
      </c>
      <c r="N32" s="119">
        <f t="shared" si="29"/>
        <v>0</v>
      </c>
      <c r="O32" s="119">
        <f t="shared" si="29"/>
        <v>0</v>
      </c>
      <c r="P32" s="119">
        <f t="shared" si="29"/>
        <v>1</v>
      </c>
      <c r="Q32" s="119">
        <f t="shared" si="29"/>
        <v>1</v>
      </c>
      <c r="R32" s="119">
        <f t="shared" si="29"/>
        <v>1</v>
      </c>
      <c r="S32" s="119">
        <f t="shared" si="29"/>
        <v>1</v>
      </c>
      <c r="T32" s="102"/>
      <c r="U32" s="119">
        <f t="shared" ref="U32:AG32" si="38">IF(U9=0,0,U26/U9)</f>
        <v>1</v>
      </c>
      <c r="V32" s="119">
        <f t="shared" si="38"/>
        <v>1</v>
      </c>
      <c r="W32" s="119">
        <f t="shared" si="38"/>
        <v>1</v>
      </c>
      <c r="X32" s="119">
        <f t="shared" si="38"/>
        <v>1</v>
      </c>
      <c r="Y32" s="119">
        <f t="shared" si="38"/>
        <v>1</v>
      </c>
      <c r="Z32" s="119">
        <f t="shared" si="38"/>
        <v>1</v>
      </c>
      <c r="AA32" s="119">
        <f t="shared" si="38"/>
        <v>1</v>
      </c>
      <c r="AB32" s="119">
        <f t="shared" si="38"/>
        <v>1</v>
      </c>
      <c r="AC32" s="119">
        <f t="shared" si="38"/>
        <v>1</v>
      </c>
      <c r="AD32" s="119">
        <f t="shared" si="38"/>
        <v>1</v>
      </c>
      <c r="AE32" s="119">
        <f t="shared" si="38"/>
        <v>1</v>
      </c>
      <c r="AF32" s="119">
        <f t="shared" si="38"/>
        <v>1</v>
      </c>
      <c r="AG32" s="119">
        <f t="shared" si="38"/>
        <v>1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t="26.1" hidden="1" customHeight="1">
      <c r="A33" s="54">
        <v>9290</v>
      </c>
      <c r="B33" s="55" t="s">
        <v>10</v>
      </c>
      <c r="C33" s="56">
        <f t="shared" ref="C33:E33" si="39">C27/C10</f>
        <v>0</v>
      </c>
      <c r="D33" s="56">
        <f t="shared" si="39"/>
        <v>0</v>
      </c>
      <c r="E33" s="56">
        <f t="shared" si="39"/>
        <v>0</v>
      </c>
      <c r="G33" s="56">
        <f t="shared" ref="G33:K33" si="40">G27/G10</f>
        <v>0</v>
      </c>
      <c r="H33" s="56">
        <f t="shared" si="40"/>
        <v>0</v>
      </c>
      <c r="I33" s="56">
        <f t="shared" si="40"/>
        <v>0</v>
      </c>
      <c r="J33" s="56">
        <f t="shared" si="40"/>
        <v>0</v>
      </c>
      <c r="K33" s="56">
        <f t="shared" si="40"/>
        <v>0</v>
      </c>
      <c r="L33" s="56">
        <f t="shared" ref="L33:S33" si="41">L27/L10</f>
        <v>0</v>
      </c>
      <c r="M33" s="56">
        <f t="shared" si="41"/>
        <v>1</v>
      </c>
      <c r="N33" s="56">
        <f t="shared" si="41"/>
        <v>1</v>
      </c>
      <c r="O33" s="56">
        <f t="shared" si="41"/>
        <v>1</v>
      </c>
      <c r="P33" s="56">
        <f t="shared" si="41"/>
        <v>1</v>
      </c>
      <c r="Q33" s="56">
        <f t="shared" si="41"/>
        <v>1</v>
      </c>
      <c r="R33" s="56">
        <f t="shared" si="41"/>
        <v>1</v>
      </c>
      <c r="S33" s="56">
        <f t="shared" si="41"/>
        <v>0.42090375469306118</v>
      </c>
      <c r="U33" s="56">
        <f t="shared" ref="U33:AG33" si="42">U27/U10</f>
        <v>1</v>
      </c>
      <c r="V33" s="56">
        <f t="shared" si="42"/>
        <v>1</v>
      </c>
      <c r="W33" s="56">
        <f t="shared" si="42"/>
        <v>1</v>
      </c>
      <c r="X33" s="56">
        <f t="shared" si="42"/>
        <v>1</v>
      </c>
      <c r="Y33" s="56">
        <f t="shared" si="42"/>
        <v>1</v>
      </c>
      <c r="Z33" s="56">
        <f t="shared" si="42"/>
        <v>1</v>
      </c>
      <c r="AA33" s="56">
        <f t="shared" si="42"/>
        <v>1</v>
      </c>
      <c r="AB33" s="56">
        <f t="shared" si="42"/>
        <v>1</v>
      </c>
      <c r="AC33" s="56">
        <f t="shared" si="42"/>
        <v>1</v>
      </c>
      <c r="AD33" s="56">
        <f t="shared" si="42"/>
        <v>1</v>
      </c>
      <c r="AE33" s="56">
        <f t="shared" si="42"/>
        <v>1</v>
      </c>
      <c r="AF33" s="56">
        <f t="shared" si="42"/>
        <v>1</v>
      </c>
      <c r="AG33" s="56">
        <f t="shared" si="42"/>
        <v>1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 outlineLevel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43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44">SUM(U34:AF34)</f>
        <v>0</v>
      </c>
    </row>
    <row r="35" spans="1:43" s="96" customFormat="1" hidden="1" outlineLevel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43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44"/>
        <v>0</v>
      </c>
    </row>
    <row r="36" spans="1:43" s="96" customFormat="1" hidden="1" outlineLevel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43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44"/>
        <v>0</v>
      </c>
    </row>
    <row r="37" spans="1:43" s="96" customFormat="1" hidden="1" outlineLevel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43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44"/>
        <v>0</v>
      </c>
    </row>
    <row r="38" spans="1:43" s="96" customFormat="1" hidden="1" outlineLevel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43"/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f t="shared" si="44"/>
        <v>0</v>
      </c>
    </row>
    <row r="39" spans="1:43" s="96" customFormat="1" hidden="1">
      <c r="A39" s="57">
        <v>9300</v>
      </c>
      <c r="B39" s="57" t="s">
        <v>14</v>
      </c>
      <c r="C39" s="41">
        <f t="shared" ref="C39:E39" si="45">SUM(C34:C38)</f>
        <v>0</v>
      </c>
      <c r="D39" s="41">
        <f t="shared" si="45"/>
        <v>0</v>
      </c>
      <c r="E39" s="41">
        <f t="shared" si="45"/>
        <v>0</v>
      </c>
      <c r="G39" s="41">
        <f t="shared" ref="G39:K39" si="46">SUM(G34:G38)</f>
        <v>0</v>
      </c>
      <c r="H39" s="41">
        <f t="shared" si="46"/>
        <v>0</v>
      </c>
      <c r="I39" s="41">
        <f t="shared" si="46"/>
        <v>0</v>
      </c>
      <c r="J39" s="41">
        <f t="shared" si="46"/>
        <v>0</v>
      </c>
      <c r="K39" s="41">
        <f t="shared" si="46"/>
        <v>0</v>
      </c>
      <c r="L39" s="41">
        <f t="shared" ref="L39:R39" si="47">SUM(L34:L38)</f>
        <v>0</v>
      </c>
      <c r="M39" s="41">
        <f t="shared" si="47"/>
        <v>0</v>
      </c>
      <c r="N39" s="41">
        <f t="shared" si="47"/>
        <v>0</v>
      </c>
      <c r="O39" s="41">
        <f t="shared" si="47"/>
        <v>0</v>
      </c>
      <c r="P39" s="41">
        <f t="shared" si="47"/>
        <v>0</v>
      </c>
      <c r="Q39" s="41">
        <f t="shared" si="47"/>
        <v>0</v>
      </c>
      <c r="R39" s="41">
        <f t="shared" si="47"/>
        <v>0</v>
      </c>
      <c r="S39" s="41">
        <f t="shared" si="43"/>
        <v>0</v>
      </c>
      <c r="U39" s="41">
        <f t="shared" ref="U39:AF39" si="48">SUM(U34:U38)</f>
        <v>0</v>
      </c>
      <c r="V39" s="41">
        <f t="shared" si="48"/>
        <v>0</v>
      </c>
      <c r="W39" s="41">
        <f t="shared" si="48"/>
        <v>0</v>
      </c>
      <c r="X39" s="41">
        <f t="shared" si="48"/>
        <v>0</v>
      </c>
      <c r="Y39" s="41">
        <f t="shared" si="48"/>
        <v>0</v>
      </c>
      <c r="Z39" s="41">
        <f t="shared" si="48"/>
        <v>0</v>
      </c>
      <c r="AA39" s="41">
        <f t="shared" si="48"/>
        <v>0</v>
      </c>
      <c r="AB39" s="41">
        <f t="shared" si="48"/>
        <v>0</v>
      </c>
      <c r="AC39" s="41">
        <f t="shared" si="48"/>
        <v>0</v>
      </c>
      <c r="AD39" s="41">
        <f t="shared" si="48"/>
        <v>0</v>
      </c>
      <c r="AE39" s="41">
        <f t="shared" si="48"/>
        <v>0</v>
      </c>
      <c r="AF39" s="41">
        <f t="shared" si="48"/>
        <v>0</v>
      </c>
      <c r="AG39" s="41">
        <f t="shared" si="44"/>
        <v>0</v>
      </c>
    </row>
    <row r="40" spans="1:43" s="96" customFormat="1" ht="24" customHeight="1" outlineLevel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F40" s="96">
        <v>6</v>
      </c>
      <c r="G40" s="51">
        <v>2040.2483333333332</v>
      </c>
      <c r="H40" s="51">
        <v>821.79499999999996</v>
      </c>
      <c r="I40" s="51">
        <v>1429.4783333333332</v>
      </c>
      <c r="J40" s="51">
        <v>221.95666666666668</v>
      </c>
      <c r="K40" s="51">
        <v>325.01499999999999</v>
      </c>
      <c r="L40" s="51">
        <v>407.85166666666669</v>
      </c>
      <c r="M40" s="51">
        <v>22560.648333333331</v>
      </c>
      <c r="N40" s="51">
        <v>11789.366666666667</v>
      </c>
      <c r="O40" s="51">
        <v>19386.801666666666</v>
      </c>
      <c r="P40" s="51">
        <v>2286.6566666666668</v>
      </c>
      <c r="Q40" s="51">
        <v>773.81000000000006</v>
      </c>
      <c r="R40" s="51">
        <v>833.33333333333337</v>
      </c>
      <c r="S40" s="51">
        <f t="shared" si="43"/>
        <v>62876.96166666667</v>
      </c>
      <c r="U40" s="51">
        <f>$S40/12*$AH40</f>
        <v>5239.7468055555555</v>
      </c>
      <c r="V40" s="51">
        <f t="shared" ref="V40:AF46" si="49">$S40/12*$AH40</f>
        <v>5239.7468055555555</v>
      </c>
      <c r="W40" s="51">
        <f t="shared" si="49"/>
        <v>5239.7468055555555</v>
      </c>
      <c r="X40" s="51">
        <f t="shared" si="49"/>
        <v>5239.7468055555555</v>
      </c>
      <c r="Y40" s="51">
        <f t="shared" si="49"/>
        <v>5239.7468055555555</v>
      </c>
      <c r="Z40" s="51">
        <f t="shared" si="49"/>
        <v>5239.7468055555555</v>
      </c>
      <c r="AA40" s="51">
        <f t="shared" si="49"/>
        <v>5239.7468055555555</v>
      </c>
      <c r="AB40" s="51">
        <f t="shared" si="49"/>
        <v>5239.7468055555555</v>
      </c>
      <c r="AC40" s="51">
        <f t="shared" si="49"/>
        <v>5239.7468055555555</v>
      </c>
      <c r="AD40" s="51">
        <f t="shared" si="49"/>
        <v>5239.7468055555555</v>
      </c>
      <c r="AE40" s="51">
        <f t="shared" si="49"/>
        <v>5239.7468055555555</v>
      </c>
      <c r="AF40" s="51">
        <f t="shared" si="49"/>
        <v>5239.7468055555555</v>
      </c>
      <c r="AG40" s="51">
        <f t="shared" si="44"/>
        <v>62876.961666666677</v>
      </c>
      <c r="AH40" s="469">
        <v>1</v>
      </c>
    </row>
    <row r="41" spans="1:43" s="96" customFormat="1" outlineLevel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7157.3866666666663</v>
      </c>
      <c r="M41" s="51">
        <v>902.91</v>
      </c>
      <c r="N41" s="51">
        <v>4934.3566666666666</v>
      </c>
      <c r="O41" s="51">
        <v>1103.6000000000001</v>
      </c>
      <c r="P41" s="51">
        <v>0</v>
      </c>
      <c r="Q41" s="51">
        <v>0</v>
      </c>
      <c r="R41" s="51">
        <v>0</v>
      </c>
      <c r="S41" s="51">
        <f t="shared" si="43"/>
        <v>14098.253333333332</v>
      </c>
      <c r="U41" s="51">
        <f t="shared" ref="U41:U46" si="50">$S41/12*$AH41</f>
        <v>1174.8544444444444</v>
      </c>
      <c r="V41" s="51">
        <f t="shared" si="49"/>
        <v>1174.8544444444444</v>
      </c>
      <c r="W41" s="51">
        <f t="shared" si="49"/>
        <v>1174.8544444444444</v>
      </c>
      <c r="X41" s="51">
        <f t="shared" si="49"/>
        <v>1174.8544444444444</v>
      </c>
      <c r="Y41" s="51">
        <f t="shared" si="49"/>
        <v>1174.8544444444444</v>
      </c>
      <c r="Z41" s="51">
        <f t="shared" si="49"/>
        <v>1174.8544444444444</v>
      </c>
      <c r="AA41" s="51">
        <f t="shared" si="49"/>
        <v>1174.8544444444444</v>
      </c>
      <c r="AB41" s="51">
        <f t="shared" si="49"/>
        <v>1174.8544444444444</v>
      </c>
      <c r="AC41" s="51">
        <f t="shared" si="49"/>
        <v>1174.8544444444444</v>
      </c>
      <c r="AD41" s="51">
        <f t="shared" si="49"/>
        <v>1174.8544444444444</v>
      </c>
      <c r="AE41" s="51">
        <f t="shared" si="49"/>
        <v>1174.8544444444444</v>
      </c>
      <c r="AF41" s="51">
        <f t="shared" si="49"/>
        <v>1174.8544444444444</v>
      </c>
      <c r="AG41" s="51">
        <f t="shared" si="44"/>
        <v>14098.253333333336</v>
      </c>
      <c r="AH41" s="469">
        <v>1</v>
      </c>
    </row>
    <row r="42" spans="1:43" s="96" customFormat="1" outlineLevel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3299.3116666666665</v>
      </c>
      <c r="H42" s="51">
        <v>0</v>
      </c>
      <c r="I42" s="51">
        <v>20827.833333333332</v>
      </c>
      <c r="J42" s="51">
        <v>0</v>
      </c>
      <c r="K42" s="51">
        <v>874.33333333333337</v>
      </c>
      <c r="L42" s="51">
        <v>3950</v>
      </c>
      <c r="M42" s="51">
        <v>4525.666666666667</v>
      </c>
      <c r="N42" s="51">
        <v>0</v>
      </c>
      <c r="O42" s="51">
        <v>0</v>
      </c>
      <c r="P42" s="51">
        <v>0</v>
      </c>
      <c r="Q42" s="51">
        <v>6725</v>
      </c>
      <c r="R42" s="51">
        <v>0</v>
      </c>
      <c r="S42" s="51">
        <f t="shared" si="43"/>
        <v>40202.144999999997</v>
      </c>
      <c r="U42" s="51">
        <f t="shared" si="50"/>
        <v>5025.2681249999996</v>
      </c>
      <c r="V42" s="51">
        <f t="shared" si="49"/>
        <v>5025.2681249999996</v>
      </c>
      <c r="W42" s="51">
        <f t="shared" si="49"/>
        <v>5025.2681249999996</v>
      </c>
      <c r="X42" s="51">
        <f t="shared" si="49"/>
        <v>5025.2681249999996</v>
      </c>
      <c r="Y42" s="51">
        <f t="shared" si="49"/>
        <v>5025.2681249999996</v>
      </c>
      <c r="Z42" s="51">
        <f t="shared" si="49"/>
        <v>5025.2681249999996</v>
      </c>
      <c r="AA42" s="51">
        <f t="shared" si="49"/>
        <v>5025.2681249999996</v>
      </c>
      <c r="AB42" s="51">
        <f t="shared" si="49"/>
        <v>5025.2681249999996</v>
      </c>
      <c r="AC42" s="51">
        <f t="shared" si="49"/>
        <v>5025.2681249999996</v>
      </c>
      <c r="AD42" s="51">
        <f t="shared" si="49"/>
        <v>5025.2681249999996</v>
      </c>
      <c r="AE42" s="51">
        <f t="shared" si="49"/>
        <v>5025.2681249999996</v>
      </c>
      <c r="AF42" s="51">
        <f t="shared" si="49"/>
        <v>5025.2681249999996</v>
      </c>
      <c r="AG42" s="51">
        <f t="shared" si="44"/>
        <v>60303.217500000006</v>
      </c>
      <c r="AH42" s="469">
        <v>1.5</v>
      </c>
    </row>
    <row r="43" spans="1:43" s="96" customFormat="1" outlineLevel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441.66666666666669</v>
      </c>
      <c r="I43" s="51">
        <v>491.66666666666669</v>
      </c>
      <c r="J43" s="51">
        <v>1033.3333333333333</v>
      </c>
      <c r="K43" s="51">
        <v>391.66666666666669</v>
      </c>
      <c r="L43" s="51">
        <v>391.66666666666669</v>
      </c>
      <c r="M43" s="51">
        <v>1055</v>
      </c>
      <c r="N43" s="51">
        <v>441.66666666666669</v>
      </c>
      <c r="O43" s="51">
        <v>833.33333333333337</v>
      </c>
      <c r="P43" s="51">
        <v>600</v>
      </c>
      <c r="Q43" s="51">
        <v>1648.3333333333333</v>
      </c>
      <c r="R43" s="51">
        <v>833.33333333333337</v>
      </c>
      <c r="S43" s="51">
        <f t="shared" si="43"/>
        <v>8161.6666666666652</v>
      </c>
      <c r="U43" s="51">
        <f t="shared" si="50"/>
        <v>680.1388888888888</v>
      </c>
      <c r="V43" s="51">
        <f t="shared" si="49"/>
        <v>680.1388888888888</v>
      </c>
      <c r="W43" s="51">
        <f t="shared" si="49"/>
        <v>680.1388888888888</v>
      </c>
      <c r="X43" s="51">
        <f t="shared" si="49"/>
        <v>680.1388888888888</v>
      </c>
      <c r="Y43" s="51">
        <f t="shared" si="49"/>
        <v>680.1388888888888</v>
      </c>
      <c r="Z43" s="51">
        <f t="shared" si="49"/>
        <v>680.1388888888888</v>
      </c>
      <c r="AA43" s="51">
        <f t="shared" si="49"/>
        <v>680.1388888888888</v>
      </c>
      <c r="AB43" s="51">
        <f t="shared" si="49"/>
        <v>680.1388888888888</v>
      </c>
      <c r="AC43" s="51">
        <f t="shared" si="49"/>
        <v>680.1388888888888</v>
      </c>
      <c r="AD43" s="51">
        <f t="shared" si="49"/>
        <v>680.1388888888888</v>
      </c>
      <c r="AE43" s="51">
        <f t="shared" si="49"/>
        <v>680.1388888888888</v>
      </c>
      <c r="AF43" s="51">
        <f t="shared" si="49"/>
        <v>680.1388888888888</v>
      </c>
      <c r="AG43" s="51">
        <f t="shared" si="44"/>
        <v>8161.6666666666652</v>
      </c>
      <c r="AH43" s="469">
        <v>1</v>
      </c>
    </row>
    <row r="44" spans="1:43" s="96" customFormat="1" outlineLevel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3292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43"/>
        <v>3292</v>
      </c>
      <c r="U44" s="51">
        <f t="shared" si="50"/>
        <v>274.33333333333331</v>
      </c>
      <c r="V44" s="51">
        <f t="shared" si="49"/>
        <v>274.33333333333331</v>
      </c>
      <c r="W44" s="51">
        <f t="shared" si="49"/>
        <v>274.33333333333331</v>
      </c>
      <c r="X44" s="51">
        <f t="shared" si="49"/>
        <v>274.33333333333331</v>
      </c>
      <c r="Y44" s="51">
        <f t="shared" si="49"/>
        <v>274.33333333333331</v>
      </c>
      <c r="Z44" s="51">
        <f t="shared" si="49"/>
        <v>274.33333333333331</v>
      </c>
      <c r="AA44" s="51">
        <f t="shared" si="49"/>
        <v>274.33333333333331</v>
      </c>
      <c r="AB44" s="51">
        <f t="shared" si="49"/>
        <v>274.33333333333331</v>
      </c>
      <c r="AC44" s="51">
        <f t="shared" si="49"/>
        <v>274.33333333333331</v>
      </c>
      <c r="AD44" s="51">
        <f t="shared" si="49"/>
        <v>274.33333333333331</v>
      </c>
      <c r="AE44" s="51">
        <f t="shared" si="49"/>
        <v>274.33333333333331</v>
      </c>
      <c r="AF44" s="51">
        <f t="shared" si="49"/>
        <v>274.33333333333331</v>
      </c>
      <c r="AG44" s="51">
        <f t="shared" si="44"/>
        <v>3292.0000000000005</v>
      </c>
      <c r="AH44" s="469">
        <v>1</v>
      </c>
    </row>
    <row r="45" spans="1:43" s="96" customFormat="1" outlineLevel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1944.8683333333336</v>
      </c>
      <c r="H45" s="51">
        <v>842.83333333333337</v>
      </c>
      <c r="I45" s="51">
        <v>1109.5</v>
      </c>
      <c r="J45" s="51">
        <v>842.83333333333337</v>
      </c>
      <c r="K45" s="51">
        <v>910.13666666666677</v>
      </c>
      <c r="L45" s="51">
        <v>16805.486666666668</v>
      </c>
      <c r="M45" s="51">
        <v>1037.8600000000001</v>
      </c>
      <c r="N45" s="51">
        <v>842.83333333333337</v>
      </c>
      <c r="O45" s="51">
        <v>1929.8733333333337</v>
      </c>
      <c r="P45" s="51">
        <v>842.83333333333337</v>
      </c>
      <c r="Q45" s="51">
        <v>916.16666666666663</v>
      </c>
      <c r="R45" s="51">
        <v>1000</v>
      </c>
      <c r="S45" s="51">
        <f t="shared" si="43"/>
        <v>29025.224999999999</v>
      </c>
      <c r="U45" s="51">
        <f t="shared" si="50"/>
        <v>2902.5224999999996</v>
      </c>
      <c r="V45" s="51">
        <f t="shared" si="49"/>
        <v>2902.5224999999996</v>
      </c>
      <c r="W45" s="51">
        <f t="shared" si="49"/>
        <v>2902.5224999999996</v>
      </c>
      <c r="X45" s="51">
        <f t="shared" si="49"/>
        <v>2902.5224999999996</v>
      </c>
      <c r="Y45" s="51">
        <f t="shared" si="49"/>
        <v>2902.5224999999996</v>
      </c>
      <c r="Z45" s="51">
        <f t="shared" si="49"/>
        <v>2902.5224999999996</v>
      </c>
      <c r="AA45" s="51">
        <f t="shared" si="49"/>
        <v>2902.5224999999996</v>
      </c>
      <c r="AB45" s="51">
        <f t="shared" si="49"/>
        <v>2902.5224999999996</v>
      </c>
      <c r="AC45" s="51">
        <f t="shared" si="49"/>
        <v>2902.5224999999996</v>
      </c>
      <c r="AD45" s="51">
        <f t="shared" si="49"/>
        <v>2902.5224999999996</v>
      </c>
      <c r="AE45" s="51">
        <f t="shared" si="49"/>
        <v>2902.5224999999996</v>
      </c>
      <c r="AF45" s="51">
        <f t="shared" si="49"/>
        <v>2902.5224999999996</v>
      </c>
      <c r="AG45" s="51">
        <f t="shared" si="44"/>
        <v>34830.269999999997</v>
      </c>
      <c r="AH45" s="469">
        <v>1.2</v>
      </c>
    </row>
    <row r="46" spans="1:43" s="96" customFormat="1" outlineLevel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672.375</v>
      </c>
      <c r="H46" s="51">
        <v>607.30666666666673</v>
      </c>
      <c r="I46" s="51">
        <v>672.37333333333333</v>
      </c>
      <c r="J46" s="51">
        <v>650.68500000000006</v>
      </c>
      <c r="K46" s="51">
        <v>672.375</v>
      </c>
      <c r="L46" s="51">
        <v>650.68500000000006</v>
      </c>
      <c r="M46" s="51">
        <v>1074.7083333333333</v>
      </c>
      <c r="N46" s="51">
        <v>672.375</v>
      </c>
      <c r="O46" s="51">
        <v>650.68500000000006</v>
      </c>
      <c r="P46" s="51">
        <v>780.32333333333327</v>
      </c>
      <c r="Q46" s="51">
        <v>762.35666666666668</v>
      </c>
      <c r="R46" s="51">
        <v>750</v>
      </c>
      <c r="S46" s="51">
        <f t="shared" si="43"/>
        <v>8616.248333333333</v>
      </c>
      <c r="U46" s="51">
        <f t="shared" si="50"/>
        <v>718.02069444444442</v>
      </c>
      <c r="V46" s="51">
        <f t="shared" si="49"/>
        <v>718.02069444444442</v>
      </c>
      <c r="W46" s="51">
        <f t="shared" si="49"/>
        <v>718.02069444444442</v>
      </c>
      <c r="X46" s="51">
        <f t="shared" si="49"/>
        <v>718.02069444444442</v>
      </c>
      <c r="Y46" s="51">
        <f t="shared" si="49"/>
        <v>718.02069444444442</v>
      </c>
      <c r="Z46" s="51">
        <f t="shared" si="49"/>
        <v>718.02069444444442</v>
      </c>
      <c r="AA46" s="51">
        <f t="shared" si="49"/>
        <v>718.02069444444442</v>
      </c>
      <c r="AB46" s="51">
        <f t="shared" si="49"/>
        <v>718.02069444444442</v>
      </c>
      <c r="AC46" s="51">
        <f t="shared" si="49"/>
        <v>718.02069444444442</v>
      </c>
      <c r="AD46" s="51">
        <f t="shared" si="49"/>
        <v>718.02069444444442</v>
      </c>
      <c r="AE46" s="51">
        <f t="shared" si="49"/>
        <v>718.02069444444442</v>
      </c>
      <c r="AF46" s="51">
        <f t="shared" si="49"/>
        <v>718.02069444444442</v>
      </c>
      <c r="AG46" s="51">
        <f t="shared" si="44"/>
        <v>8616.248333333333</v>
      </c>
      <c r="AH46" s="469">
        <v>1</v>
      </c>
    </row>
    <row r="47" spans="1:43" s="96" customFormat="1" outlineLevel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5862.333333333333</v>
      </c>
      <c r="H47" s="44">
        <v>10735.5</v>
      </c>
      <c r="I47" s="44">
        <v>10735.5</v>
      </c>
      <c r="J47" s="44">
        <v>10735.5</v>
      </c>
      <c r="K47" s="44">
        <v>11112.166666666666</v>
      </c>
      <c r="L47" s="44">
        <v>11112.166666666666</v>
      </c>
      <c r="M47" s="44">
        <v>11112.166666666666</v>
      </c>
      <c r="N47" s="44">
        <v>11112.166666666666</v>
      </c>
      <c r="O47" s="44">
        <v>11112.166666666666</v>
      </c>
      <c r="P47" s="44">
        <v>12437.166666666666</v>
      </c>
      <c r="Q47" s="44">
        <v>11087.166666666666</v>
      </c>
      <c r="R47" s="44">
        <v>11087.166666666666</v>
      </c>
      <c r="S47" s="44">
        <f t="shared" si="43"/>
        <v>128241.16666666669</v>
      </c>
      <c r="U47" s="235">
        <f>VLOOKUP($A$2,investice!$C$51:$AG$65,investice!U$51,FALSE)</f>
        <v>12326.055555555555</v>
      </c>
      <c r="V47" s="235">
        <f>VLOOKUP($A$2,investice!$C$51:$AG$65,investice!V$51,FALSE)</f>
        <v>12326.055555555555</v>
      </c>
      <c r="W47" s="235">
        <f>VLOOKUP($A$2,investice!$C$51:$AG$65,investice!W$51,FALSE)</f>
        <v>12326.055555555555</v>
      </c>
      <c r="X47" s="235">
        <f>VLOOKUP($A$2,investice!$C$51:$AG$65,investice!X$51,FALSE)</f>
        <v>12326.055555555555</v>
      </c>
      <c r="Y47" s="235">
        <f>VLOOKUP($A$2,investice!$C$51:$AG$65,investice!Y$51,FALSE)</f>
        <v>12326.055555555555</v>
      </c>
      <c r="Z47" s="235">
        <f>VLOOKUP($A$2,investice!$C$51:$AG$65,investice!Z$51,FALSE)</f>
        <v>22048.277777777777</v>
      </c>
      <c r="AA47" s="235">
        <f>VLOOKUP($A$2,investice!$C$51:$AG$65,investice!AA$51,FALSE)</f>
        <v>22048.277777777777</v>
      </c>
      <c r="AB47" s="235">
        <f>VLOOKUP($A$2,investice!$C$51:$AG$65,investice!AB$51,FALSE)</f>
        <v>22048.277777777777</v>
      </c>
      <c r="AC47" s="235">
        <f>VLOOKUP($A$2,investice!$C$51:$AG$65,investice!AC$51,FALSE)</f>
        <v>22048.277777777777</v>
      </c>
      <c r="AD47" s="235">
        <f>VLOOKUP($A$2,investice!$C$51:$AG$65,investice!AD$51,FALSE)</f>
        <v>22048.277777777777</v>
      </c>
      <c r="AE47" s="235">
        <f>VLOOKUP($A$2,investice!$C$51:$AG$65,investice!AE$51,FALSE)</f>
        <v>22048.277777777777</v>
      </c>
      <c r="AF47" s="235">
        <f>VLOOKUP($A$2,investice!$C$51:$AG$65,investice!AF$51,FALSE)</f>
        <v>22048.277777777777</v>
      </c>
      <c r="AG47" s="44">
        <f t="shared" si="44"/>
        <v>215968.22222222222</v>
      </c>
    </row>
    <row r="48" spans="1:43" s="96" customFormat="1">
      <c r="A48" s="57">
        <v>9400</v>
      </c>
      <c r="B48" s="57" t="s">
        <v>112</v>
      </c>
      <c r="C48" s="41">
        <f t="shared" ref="C48:E48" si="51">SUM(C40:C47)</f>
        <v>0</v>
      </c>
      <c r="D48" s="41">
        <f t="shared" si="51"/>
        <v>0</v>
      </c>
      <c r="E48" s="41">
        <f t="shared" si="51"/>
        <v>0</v>
      </c>
      <c r="G48" s="41">
        <f t="shared" ref="G48:K48" si="52">SUM(G40:G47)</f>
        <v>13819.136666666665</v>
      </c>
      <c r="H48" s="41">
        <f t="shared" si="52"/>
        <v>13449.101666666667</v>
      </c>
      <c r="I48" s="41">
        <f t="shared" si="52"/>
        <v>35266.351666666669</v>
      </c>
      <c r="J48" s="41">
        <f t="shared" si="52"/>
        <v>13484.308333333334</v>
      </c>
      <c r="K48" s="41">
        <f t="shared" si="52"/>
        <v>17577.693333333333</v>
      </c>
      <c r="L48" s="41">
        <f t="shared" ref="L48:R48" si="53">SUM(L40:L47)</f>
        <v>40475.243333333332</v>
      </c>
      <c r="M48" s="41">
        <f t="shared" si="53"/>
        <v>42268.959999999999</v>
      </c>
      <c r="N48" s="41">
        <f t="shared" si="53"/>
        <v>29792.764999999999</v>
      </c>
      <c r="O48" s="41">
        <f t="shared" si="53"/>
        <v>35016.46</v>
      </c>
      <c r="P48" s="41">
        <f t="shared" si="53"/>
        <v>16946.98</v>
      </c>
      <c r="Q48" s="41">
        <f t="shared" si="53"/>
        <v>21912.833333333332</v>
      </c>
      <c r="R48" s="41">
        <f t="shared" si="53"/>
        <v>14503.833333333332</v>
      </c>
      <c r="S48" s="41">
        <f t="shared" si="43"/>
        <v>294513.66666666663</v>
      </c>
      <c r="U48" s="41">
        <f t="shared" ref="U48:AF48" si="54">SUM(U40:U47)</f>
        <v>28340.940347222218</v>
      </c>
      <c r="V48" s="41">
        <f t="shared" si="54"/>
        <v>28340.940347222218</v>
      </c>
      <c r="W48" s="41">
        <f t="shared" si="54"/>
        <v>28340.940347222218</v>
      </c>
      <c r="X48" s="41">
        <f t="shared" si="54"/>
        <v>28340.940347222218</v>
      </c>
      <c r="Y48" s="41">
        <f t="shared" si="54"/>
        <v>28340.940347222218</v>
      </c>
      <c r="Z48" s="41">
        <f t="shared" si="54"/>
        <v>38063.162569444437</v>
      </c>
      <c r="AA48" s="41">
        <f t="shared" si="54"/>
        <v>38063.162569444437</v>
      </c>
      <c r="AB48" s="41">
        <f t="shared" si="54"/>
        <v>38063.162569444437</v>
      </c>
      <c r="AC48" s="41">
        <f t="shared" si="54"/>
        <v>38063.162569444437</v>
      </c>
      <c r="AD48" s="41">
        <f t="shared" si="54"/>
        <v>38063.162569444437</v>
      </c>
      <c r="AE48" s="41">
        <f t="shared" si="54"/>
        <v>38063.162569444437</v>
      </c>
      <c r="AF48" s="41">
        <f t="shared" si="54"/>
        <v>38063.162569444437</v>
      </c>
      <c r="AG48" s="41">
        <f t="shared" si="44"/>
        <v>408146.83972222224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43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44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43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44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43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20000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310">
        <f t="shared" si="44"/>
        <v>20000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43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44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43"/>
        <v>0</v>
      </c>
      <c r="T53" s="239"/>
      <c r="U53" s="234">
        <f>VLOOKUP($A$2,osobni!$F$31:$EQ$44,osobni!EE$3,FALSE)</f>
        <v>0</v>
      </c>
      <c r="V53" s="234">
        <f>VLOOKUP($A$2,osobni!$F$31:$EQ$44,osobni!EF$3,FALSE)</f>
        <v>0</v>
      </c>
      <c r="W53" s="234">
        <f>VLOOKUP($A$2,osobni!$F$31:$EQ$44,osobni!EG$3,FALSE)</f>
        <v>0</v>
      </c>
      <c r="X53" s="234">
        <f>VLOOKUP($A$2,osobni!$F$31:$EQ$44,osobni!EH$3,FALSE)</f>
        <v>0</v>
      </c>
      <c r="Y53" s="234">
        <f>VLOOKUP($A$2,osobni!$F$31:$EQ$44,osobni!EI$3,FALSE)</f>
        <v>0</v>
      </c>
      <c r="Z53" s="234">
        <f>VLOOKUP($A$2,osobni!$F$31:$EQ$44,osobni!EJ$3,FALSE)</f>
        <v>0</v>
      </c>
      <c r="AA53" s="234">
        <f>VLOOKUP($A$2,osobni!$F$31:$EQ$44,osobni!EK$3,FALSE)</f>
        <v>0</v>
      </c>
      <c r="AB53" s="234">
        <f>VLOOKUP($A$2,osobni!$F$31:$EQ$44,osobni!EL$3,FALSE)</f>
        <v>0</v>
      </c>
      <c r="AC53" s="234">
        <f>VLOOKUP($A$2,osobni!$F$31:$EQ$44,osobni!EM$3,FALSE)</f>
        <v>0</v>
      </c>
      <c r="AD53" s="234">
        <f>VLOOKUP($A$2,osobni!$F$31:$EQ$44,osobni!EN$3,FALSE)</f>
        <v>0</v>
      </c>
      <c r="AE53" s="234">
        <f>VLOOKUP($A$2,osobni!$F$31:$EQ$44,osobni!EO$3,FALSE)</f>
        <v>0</v>
      </c>
      <c r="AF53" s="234">
        <f>VLOOKUP($A$2,osobni!$F$31:$EQ$44,osobni!EP$3,FALSE)</f>
        <v>0</v>
      </c>
      <c r="AG53" s="51">
        <f t="shared" si="44"/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43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44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43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44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43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44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43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44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43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55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43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44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43"/>
        <v>0</v>
      </c>
      <c r="U60" s="235">
        <f>VLOOKUP($A$2,osobni!$F$31:$EQ$44,osobni!DC$3,FALSE)</f>
        <v>0</v>
      </c>
      <c r="V60" s="235">
        <f>VLOOKUP($A$2,osobni!$F$31:$EQ$44,osobni!DD$3,FALSE)</f>
        <v>0</v>
      </c>
      <c r="W60" s="235">
        <f>VLOOKUP($A$2,osobni!$F$31:$EQ$44,osobni!DE$3,FALSE)</f>
        <v>0</v>
      </c>
      <c r="X60" s="235">
        <f>VLOOKUP($A$2,osobni!$F$31:$EQ$44,osobni!DF$3,FALSE)</f>
        <v>0</v>
      </c>
      <c r="Y60" s="235">
        <f>VLOOKUP($A$2,osobni!$F$31:$EQ$44,osobni!DG$3,FALSE)</f>
        <v>0</v>
      </c>
      <c r="Z60" s="235">
        <f>VLOOKUP($A$2,osobni!$F$31:$EQ$44,osobni!DH$3,FALSE)</f>
        <v>0</v>
      </c>
      <c r="AA60" s="235">
        <f>VLOOKUP($A$2,osobni!$F$31:$EQ$44,osobni!DI$3,FALSE)</f>
        <v>0</v>
      </c>
      <c r="AB60" s="235">
        <f>VLOOKUP($A$2,osobni!$F$31:$EQ$44,osobni!DJ$3,FALSE)</f>
        <v>0</v>
      </c>
      <c r="AC60" s="235">
        <f>VLOOKUP($A$2,osobni!$F$31:$EQ$44,osobni!DK$3,FALSE)</f>
        <v>0</v>
      </c>
      <c r="AD60" s="235">
        <f>VLOOKUP($A$2,osobni!$F$31:$EQ$44,osobni!DL$3,FALSE)</f>
        <v>0</v>
      </c>
      <c r="AE60" s="235">
        <f>VLOOKUP($A$2,osobni!$F$31:$EQ$44,osobni!DM$3,FALSE)</f>
        <v>0</v>
      </c>
      <c r="AF60" s="235">
        <f>VLOOKUP($A$2,osobni!$F$31:$EQ$44,osobni!DN$3,FALSE)</f>
        <v>0</v>
      </c>
      <c r="AG60" s="44">
        <f t="shared" si="44"/>
        <v>0</v>
      </c>
    </row>
    <row r="61" spans="1:33" s="96" customFormat="1">
      <c r="A61" s="57">
        <v>9500</v>
      </c>
      <c r="B61" s="57" t="s">
        <v>121</v>
      </c>
      <c r="C61" s="41">
        <f t="shared" ref="C61:E61" si="56">SUM(C49:C60)</f>
        <v>0</v>
      </c>
      <c r="D61" s="41">
        <f t="shared" si="56"/>
        <v>0</v>
      </c>
      <c r="E61" s="41">
        <f t="shared" si="56"/>
        <v>0</v>
      </c>
      <c r="G61" s="41">
        <f t="shared" ref="G61:R61" si="57">SUM(G49:G60)</f>
        <v>0</v>
      </c>
      <c r="H61" s="41">
        <f t="shared" si="57"/>
        <v>0</v>
      </c>
      <c r="I61" s="41">
        <f t="shared" si="57"/>
        <v>0</v>
      </c>
      <c r="J61" s="41">
        <f t="shared" si="57"/>
        <v>0</v>
      </c>
      <c r="K61" s="41">
        <f t="shared" si="57"/>
        <v>0</v>
      </c>
      <c r="L61" s="41">
        <f t="shared" si="57"/>
        <v>0</v>
      </c>
      <c r="M61" s="41">
        <f t="shared" si="57"/>
        <v>0</v>
      </c>
      <c r="N61" s="41">
        <f t="shared" si="57"/>
        <v>0</v>
      </c>
      <c r="O61" s="41">
        <f t="shared" si="57"/>
        <v>0</v>
      </c>
      <c r="P61" s="41">
        <f t="shared" si="57"/>
        <v>0</v>
      </c>
      <c r="Q61" s="41">
        <f t="shared" si="57"/>
        <v>0</v>
      </c>
      <c r="R61" s="41">
        <f t="shared" si="57"/>
        <v>0</v>
      </c>
      <c r="S61" s="41">
        <f t="shared" si="43"/>
        <v>0</v>
      </c>
      <c r="U61" s="41">
        <f t="shared" ref="U61:AF61" si="58">SUM(U49:U60)</f>
        <v>0</v>
      </c>
      <c r="V61" s="41">
        <f t="shared" si="58"/>
        <v>20000</v>
      </c>
      <c r="W61" s="41">
        <f t="shared" si="58"/>
        <v>0</v>
      </c>
      <c r="X61" s="41">
        <f t="shared" si="58"/>
        <v>0</v>
      </c>
      <c r="Y61" s="41">
        <f t="shared" si="58"/>
        <v>0</v>
      </c>
      <c r="Z61" s="41">
        <f t="shared" si="58"/>
        <v>0</v>
      </c>
      <c r="AA61" s="41">
        <f t="shared" si="58"/>
        <v>0</v>
      </c>
      <c r="AB61" s="41">
        <f t="shared" si="58"/>
        <v>0</v>
      </c>
      <c r="AC61" s="41">
        <f t="shared" si="58"/>
        <v>0</v>
      </c>
      <c r="AD61" s="41">
        <f t="shared" si="58"/>
        <v>0</v>
      </c>
      <c r="AE61" s="41">
        <f t="shared" si="58"/>
        <v>0</v>
      </c>
      <c r="AF61" s="41">
        <f t="shared" si="58"/>
        <v>0</v>
      </c>
      <c r="AG61" s="41">
        <f t="shared" si="44"/>
        <v>20000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43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44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43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44"/>
        <v>0</v>
      </c>
    </row>
    <row r="64" spans="1:33" s="96" customFormat="1">
      <c r="A64" s="59">
        <v>9600</v>
      </c>
      <c r="B64" s="62" t="s">
        <v>122</v>
      </c>
      <c r="C64" s="63">
        <f t="shared" ref="C64:E64" si="59">C27-C48-C39-C61+C63-C62</f>
        <v>0</v>
      </c>
      <c r="D64" s="63">
        <f t="shared" si="59"/>
        <v>0</v>
      </c>
      <c r="E64" s="63">
        <f t="shared" si="59"/>
        <v>0</v>
      </c>
      <c r="G64" s="63">
        <f t="shared" ref="G64:K64" si="60">G27-G48-G39-G61+G63-G62</f>
        <v>-13819.136666666665</v>
      </c>
      <c r="H64" s="63">
        <f t="shared" si="60"/>
        <v>-13449.101666666667</v>
      </c>
      <c r="I64" s="63">
        <f t="shared" si="60"/>
        <v>-35266.351666666669</v>
      </c>
      <c r="J64" s="63">
        <f t="shared" si="60"/>
        <v>-13484.308333333334</v>
      </c>
      <c r="K64" s="63">
        <f t="shared" si="60"/>
        <v>-17577.693333333333</v>
      </c>
      <c r="L64" s="63">
        <f t="shared" ref="L64:R64" si="61">L27-L48-L39-L61+L63-L62</f>
        <v>-40475.243333333332</v>
      </c>
      <c r="M64" s="63">
        <f t="shared" si="61"/>
        <v>15167.706666666665</v>
      </c>
      <c r="N64" s="63">
        <f t="shared" si="61"/>
        <v>27643.901666666665</v>
      </c>
      <c r="O64" s="63">
        <f t="shared" si="61"/>
        <v>22420.206666666665</v>
      </c>
      <c r="P64" s="63">
        <f t="shared" si="61"/>
        <v>40489.686666666661</v>
      </c>
      <c r="Q64" s="63">
        <f t="shared" si="61"/>
        <v>35523.833333333328</v>
      </c>
      <c r="R64" s="63">
        <f t="shared" si="61"/>
        <v>42932.833333333328</v>
      </c>
      <c r="S64" s="63">
        <f t="shared" si="43"/>
        <v>50106.333333333299</v>
      </c>
      <c r="U64" s="63">
        <f t="shared" ref="U64:AF64" si="62">U27-U48-U39-U61+U63-U62</f>
        <v>29095.726319444446</v>
      </c>
      <c r="V64" s="63">
        <f t="shared" si="62"/>
        <v>9095.7263194444458</v>
      </c>
      <c r="W64" s="63">
        <f t="shared" si="62"/>
        <v>29095.726319444446</v>
      </c>
      <c r="X64" s="63">
        <f t="shared" si="62"/>
        <v>29095.726319444446</v>
      </c>
      <c r="Y64" s="63">
        <f t="shared" si="62"/>
        <v>18495.726319444446</v>
      </c>
      <c r="Z64" s="63">
        <f t="shared" si="62"/>
        <v>8773.5040972222268</v>
      </c>
      <c r="AA64" s="63">
        <f t="shared" si="62"/>
        <v>8773.5040972222268</v>
      </c>
      <c r="AB64" s="63">
        <f t="shared" si="62"/>
        <v>8773.5040972222268</v>
      </c>
      <c r="AC64" s="63">
        <f t="shared" si="62"/>
        <v>8773.5040972222268</v>
      </c>
      <c r="AD64" s="63">
        <f t="shared" si="62"/>
        <v>8773.5040972222268</v>
      </c>
      <c r="AE64" s="63">
        <f t="shared" si="62"/>
        <v>8773.5040972222268</v>
      </c>
      <c r="AF64" s="63">
        <f t="shared" si="62"/>
        <v>8773.5040972222268</v>
      </c>
      <c r="AG64" s="63">
        <f t="shared" si="44"/>
        <v>176293.16027777788</v>
      </c>
    </row>
    <row r="65" spans="1:33" s="102" customFormat="1">
      <c r="A65" s="64">
        <v>9690</v>
      </c>
      <c r="B65" s="65" t="s">
        <v>123</v>
      </c>
      <c r="C65" s="66">
        <f t="shared" ref="C65:E65" si="63">C64/C10</f>
        <v>0</v>
      </c>
      <c r="D65" s="66">
        <f t="shared" si="63"/>
        <v>0</v>
      </c>
      <c r="E65" s="66">
        <f t="shared" si="63"/>
        <v>0</v>
      </c>
      <c r="G65" s="66">
        <f t="shared" ref="G65:K65" si="64">G64/G10</f>
        <v>-0.19457087074261631</v>
      </c>
      <c r="H65" s="66">
        <f t="shared" si="64"/>
        <v>-0.18936084685386564</v>
      </c>
      <c r="I65" s="66">
        <f t="shared" si="64"/>
        <v>-0.42477468272099128</v>
      </c>
      <c r="J65" s="66">
        <f t="shared" si="64"/>
        <v>-0.16241523501330948</v>
      </c>
      <c r="K65" s="66">
        <f t="shared" si="64"/>
        <v>-0.21171906805689947</v>
      </c>
      <c r="L65" s="66">
        <f t="shared" ref="L65:S65" si="65">L64/L10</f>
        <v>-0.48751452397107659</v>
      </c>
      <c r="M65" s="66">
        <f t="shared" si="65"/>
        <v>0.26407707039637862</v>
      </c>
      <c r="N65" s="66">
        <f t="shared" si="65"/>
        <v>0.48129362776391388</v>
      </c>
      <c r="O65" s="66">
        <f t="shared" si="65"/>
        <v>0.39034658464395566</v>
      </c>
      <c r="P65" s="66">
        <f t="shared" si="65"/>
        <v>0.70494492484475646</v>
      </c>
      <c r="Q65" s="66">
        <f t="shared" si="65"/>
        <v>0.61848702919157328</v>
      </c>
      <c r="R65" s="66">
        <f t="shared" si="65"/>
        <v>0.74748128373280709</v>
      </c>
      <c r="S65" s="66">
        <f t="shared" si="65"/>
        <v>6.119767812054458E-2</v>
      </c>
      <c r="U65" s="66">
        <f t="shared" ref="U65:AG65" si="66">U64/U10</f>
        <v>0.50657059345559363</v>
      </c>
      <c r="V65" s="66">
        <f t="shared" si="66"/>
        <v>0.15836097126303372</v>
      </c>
      <c r="W65" s="66">
        <f t="shared" si="66"/>
        <v>0.50657059345559363</v>
      </c>
      <c r="X65" s="66">
        <f t="shared" si="66"/>
        <v>0.50657059345559363</v>
      </c>
      <c r="Y65" s="66">
        <f t="shared" si="66"/>
        <v>0.3948984339786018</v>
      </c>
      <c r="Z65" s="66">
        <f t="shared" si="66"/>
        <v>0.18732127458306655</v>
      </c>
      <c r="AA65" s="66">
        <f t="shared" si="66"/>
        <v>0.18732127458306655</v>
      </c>
      <c r="AB65" s="66">
        <f t="shared" si="66"/>
        <v>0.18732127458306655</v>
      </c>
      <c r="AC65" s="66">
        <f t="shared" si="66"/>
        <v>0.18732127458306655</v>
      </c>
      <c r="AD65" s="66">
        <f t="shared" si="66"/>
        <v>0.18732127458306655</v>
      </c>
      <c r="AE65" s="66">
        <f t="shared" si="66"/>
        <v>0.18732127458306655</v>
      </c>
      <c r="AF65" s="66">
        <f t="shared" si="66"/>
        <v>0.18732127458306655</v>
      </c>
      <c r="AG65" s="66">
        <f t="shared" si="66"/>
        <v>0.29166362298619858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67">C64-C66+C67</f>
        <v>0</v>
      </c>
      <c r="D68" s="72">
        <f t="shared" si="67"/>
        <v>0</v>
      </c>
      <c r="E68" s="72">
        <f t="shared" si="67"/>
        <v>0</v>
      </c>
      <c r="G68" s="72">
        <f t="shared" ref="G68:K68" si="68">G64-G66+G67</f>
        <v>-13819.136666666665</v>
      </c>
      <c r="H68" s="72">
        <f t="shared" si="68"/>
        <v>-13449.101666666667</v>
      </c>
      <c r="I68" s="72">
        <f t="shared" si="68"/>
        <v>-35266.351666666669</v>
      </c>
      <c r="J68" s="72">
        <f t="shared" si="68"/>
        <v>-13484.308333333334</v>
      </c>
      <c r="K68" s="72">
        <f t="shared" si="68"/>
        <v>-17577.693333333333</v>
      </c>
      <c r="L68" s="72">
        <f t="shared" ref="L68:R68" si="69">L64-L66+L67</f>
        <v>-40475.243333333332</v>
      </c>
      <c r="M68" s="72">
        <f t="shared" si="69"/>
        <v>15167.706666666665</v>
      </c>
      <c r="N68" s="72">
        <f t="shared" si="69"/>
        <v>27643.901666666665</v>
      </c>
      <c r="O68" s="72">
        <f t="shared" si="69"/>
        <v>22420.206666666665</v>
      </c>
      <c r="P68" s="72">
        <f t="shared" si="69"/>
        <v>40489.686666666661</v>
      </c>
      <c r="Q68" s="72">
        <f t="shared" si="69"/>
        <v>35523.833333333328</v>
      </c>
      <c r="R68" s="72">
        <f t="shared" si="69"/>
        <v>42932.833333333328</v>
      </c>
      <c r="S68" s="72">
        <f>SUM(G68:R68)</f>
        <v>50106.333333333299</v>
      </c>
      <c r="T68" s="96"/>
      <c r="U68" s="72">
        <f t="shared" ref="U68:AF68" si="70">U64-U66+U67</f>
        <v>29095.726319444446</v>
      </c>
      <c r="V68" s="72">
        <f t="shared" si="70"/>
        <v>9095.7263194444458</v>
      </c>
      <c r="W68" s="72">
        <f t="shared" si="70"/>
        <v>29095.726319444446</v>
      </c>
      <c r="X68" s="72">
        <f t="shared" si="70"/>
        <v>29095.726319444446</v>
      </c>
      <c r="Y68" s="72">
        <f t="shared" si="70"/>
        <v>18495.726319444446</v>
      </c>
      <c r="Z68" s="72">
        <f t="shared" si="70"/>
        <v>8773.5040972222268</v>
      </c>
      <c r="AA68" s="72">
        <f t="shared" si="70"/>
        <v>8773.5040972222268</v>
      </c>
      <c r="AB68" s="72">
        <f t="shared" si="70"/>
        <v>8773.5040972222268</v>
      </c>
      <c r="AC68" s="72">
        <f t="shared" si="70"/>
        <v>8773.5040972222268</v>
      </c>
      <c r="AD68" s="72">
        <f t="shared" si="70"/>
        <v>8773.5040972222268</v>
      </c>
      <c r="AE68" s="72">
        <f t="shared" si="70"/>
        <v>8773.5040972222268</v>
      </c>
      <c r="AF68" s="72">
        <f t="shared" si="70"/>
        <v>8773.5040972222268</v>
      </c>
      <c r="AG68" s="72">
        <f>SUM(U68:AF68)</f>
        <v>176293.16027777788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71">C68-C69</f>
        <v>0</v>
      </c>
      <c r="D70" s="78">
        <f t="shared" si="71"/>
        <v>0</v>
      </c>
      <c r="E70" s="78">
        <f t="shared" si="71"/>
        <v>0</v>
      </c>
      <c r="G70" s="78">
        <f t="shared" ref="G70:K70" si="72">G68-G69</f>
        <v>-13819.136666666665</v>
      </c>
      <c r="H70" s="78">
        <f t="shared" si="72"/>
        <v>-13449.101666666667</v>
      </c>
      <c r="I70" s="78">
        <f t="shared" si="72"/>
        <v>-35266.351666666669</v>
      </c>
      <c r="J70" s="78">
        <f t="shared" si="72"/>
        <v>-13484.308333333334</v>
      </c>
      <c r="K70" s="78">
        <f t="shared" si="72"/>
        <v>-17577.693333333333</v>
      </c>
      <c r="L70" s="78">
        <f t="shared" ref="L70:R70" si="73">L68-L69</f>
        <v>-40475.243333333332</v>
      </c>
      <c r="M70" s="78">
        <f t="shared" si="73"/>
        <v>15167.706666666665</v>
      </c>
      <c r="N70" s="78">
        <f t="shared" si="73"/>
        <v>27643.901666666665</v>
      </c>
      <c r="O70" s="78">
        <f t="shared" si="73"/>
        <v>22420.206666666665</v>
      </c>
      <c r="P70" s="78">
        <f t="shared" si="73"/>
        <v>40489.686666666661</v>
      </c>
      <c r="Q70" s="78">
        <f t="shared" si="73"/>
        <v>35523.833333333328</v>
      </c>
      <c r="R70" s="78">
        <f t="shared" si="73"/>
        <v>42932.833333333328</v>
      </c>
      <c r="S70" s="78">
        <f>SUM(G70:R70)</f>
        <v>50106.333333333299</v>
      </c>
      <c r="T70" s="96"/>
      <c r="U70" s="78">
        <f t="shared" ref="U70:AF70" si="74">U68-U69</f>
        <v>29095.726319444446</v>
      </c>
      <c r="V70" s="78">
        <f t="shared" si="74"/>
        <v>9095.7263194444458</v>
      </c>
      <c r="W70" s="78">
        <f t="shared" si="74"/>
        <v>29095.726319444446</v>
      </c>
      <c r="X70" s="78">
        <f t="shared" si="74"/>
        <v>29095.726319444446</v>
      </c>
      <c r="Y70" s="78">
        <f t="shared" si="74"/>
        <v>18495.726319444446</v>
      </c>
      <c r="Z70" s="78">
        <f t="shared" si="74"/>
        <v>8773.5040972222268</v>
      </c>
      <c r="AA70" s="78">
        <f t="shared" si="74"/>
        <v>8773.5040972222268</v>
      </c>
      <c r="AB70" s="78">
        <f t="shared" si="74"/>
        <v>8773.5040972222268</v>
      </c>
      <c r="AC70" s="78">
        <f t="shared" si="74"/>
        <v>8773.5040972222268</v>
      </c>
      <c r="AD70" s="78">
        <f t="shared" si="74"/>
        <v>8773.5040972222268</v>
      </c>
      <c r="AE70" s="78">
        <f t="shared" si="74"/>
        <v>8773.5040972222268</v>
      </c>
      <c r="AF70" s="78">
        <f t="shared" si="74"/>
        <v>8773.5040972222268</v>
      </c>
      <c r="AG70" s="78">
        <f>SUM(U70:AF70)</f>
        <v>176293.16027777788</v>
      </c>
    </row>
    <row r="71" spans="1:33" s="102" customFormat="1" ht="15.75" hidden="1" thickBot="1">
      <c r="A71" s="79">
        <v>9990</v>
      </c>
      <c r="B71" s="65" t="s">
        <v>126</v>
      </c>
      <c r="C71" s="80">
        <f t="shared" ref="C71:E71" si="75">C70/C10</f>
        <v>0</v>
      </c>
      <c r="D71" s="80">
        <f t="shared" si="75"/>
        <v>0</v>
      </c>
      <c r="E71" s="80">
        <f t="shared" si="75"/>
        <v>0</v>
      </c>
      <c r="G71" s="80">
        <f t="shared" ref="G71:K71" si="76">G70/G10</f>
        <v>-0.19457087074261631</v>
      </c>
      <c r="H71" s="80">
        <f t="shared" si="76"/>
        <v>-0.18936084685386564</v>
      </c>
      <c r="I71" s="80">
        <f t="shared" si="76"/>
        <v>-0.42477468272099128</v>
      </c>
      <c r="J71" s="80">
        <f t="shared" si="76"/>
        <v>-0.16241523501330948</v>
      </c>
      <c r="K71" s="80">
        <f t="shared" si="76"/>
        <v>-0.21171906805689947</v>
      </c>
      <c r="L71" s="80">
        <f t="shared" ref="L71:S71" si="77">L70/L10</f>
        <v>-0.48751452397107659</v>
      </c>
      <c r="M71" s="80">
        <f t="shared" si="77"/>
        <v>0.26407707039637862</v>
      </c>
      <c r="N71" s="80">
        <f t="shared" si="77"/>
        <v>0.48129362776391388</v>
      </c>
      <c r="O71" s="80">
        <f t="shared" si="77"/>
        <v>0.39034658464395566</v>
      </c>
      <c r="P71" s="80">
        <f t="shared" si="77"/>
        <v>0.70494492484475646</v>
      </c>
      <c r="Q71" s="80">
        <f t="shared" si="77"/>
        <v>0.61848702919157328</v>
      </c>
      <c r="R71" s="80">
        <f t="shared" si="77"/>
        <v>0.74748128373280709</v>
      </c>
      <c r="S71" s="80">
        <f t="shared" si="77"/>
        <v>6.119767812054458E-2</v>
      </c>
      <c r="U71" s="80">
        <f t="shared" ref="U71:AG71" si="78">U70/U10</f>
        <v>0.50657059345559363</v>
      </c>
      <c r="V71" s="80">
        <f t="shared" si="78"/>
        <v>0.15836097126303372</v>
      </c>
      <c r="W71" s="80">
        <f t="shared" si="78"/>
        <v>0.50657059345559363</v>
      </c>
      <c r="X71" s="80">
        <f t="shared" si="78"/>
        <v>0.50657059345559363</v>
      </c>
      <c r="Y71" s="80">
        <f t="shared" si="78"/>
        <v>0.3948984339786018</v>
      </c>
      <c r="Z71" s="80">
        <f t="shared" si="78"/>
        <v>0.18732127458306655</v>
      </c>
      <c r="AA71" s="80">
        <f t="shared" si="78"/>
        <v>0.18732127458306655</v>
      </c>
      <c r="AB71" s="80">
        <f t="shared" si="78"/>
        <v>0.18732127458306655</v>
      </c>
      <c r="AC71" s="80">
        <f t="shared" si="78"/>
        <v>0.18732127458306655</v>
      </c>
      <c r="AD71" s="80">
        <f t="shared" si="78"/>
        <v>0.18732127458306655</v>
      </c>
      <c r="AE71" s="80">
        <f t="shared" si="78"/>
        <v>0.18732127458306655</v>
      </c>
      <c r="AF71" s="80">
        <f t="shared" si="78"/>
        <v>0.18732127458306655</v>
      </c>
      <c r="AG71" s="80">
        <f t="shared" si="78"/>
        <v>0.29166362298619858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79">C64+C73</f>
        <v>0</v>
      </c>
      <c r="D74" s="84">
        <f t="shared" si="79"/>
        <v>0</v>
      </c>
      <c r="E74" s="84">
        <f t="shared" si="79"/>
        <v>0</v>
      </c>
      <c r="G74" s="84">
        <f t="shared" ref="G74:K74" si="80">G64+G73</f>
        <v>-13819.136666666665</v>
      </c>
      <c r="H74" s="84">
        <f t="shared" si="80"/>
        <v>-13449.101666666667</v>
      </c>
      <c r="I74" s="84">
        <f t="shared" si="80"/>
        <v>-35266.351666666669</v>
      </c>
      <c r="J74" s="84">
        <f t="shared" si="80"/>
        <v>-13484.308333333334</v>
      </c>
      <c r="K74" s="84">
        <f t="shared" si="80"/>
        <v>-17577.693333333333</v>
      </c>
      <c r="L74" s="84">
        <f t="shared" ref="L74:R74" si="81">L64+L73</f>
        <v>-40475.243333333332</v>
      </c>
      <c r="M74" s="84">
        <f t="shared" si="81"/>
        <v>15167.706666666665</v>
      </c>
      <c r="N74" s="84">
        <f t="shared" si="81"/>
        <v>27643.901666666665</v>
      </c>
      <c r="O74" s="84">
        <f t="shared" si="81"/>
        <v>22420.206666666665</v>
      </c>
      <c r="P74" s="84">
        <f t="shared" si="81"/>
        <v>40489.686666666661</v>
      </c>
      <c r="Q74" s="84">
        <f t="shared" si="81"/>
        <v>35523.833333333328</v>
      </c>
      <c r="R74" s="84">
        <f t="shared" si="81"/>
        <v>42932.833333333328</v>
      </c>
      <c r="S74" s="84">
        <f>SUM(G74:R74)</f>
        <v>50106.333333333299</v>
      </c>
      <c r="U74" s="84">
        <f t="shared" ref="U74:AF74" si="82">U64+U73</f>
        <v>29095.726319444446</v>
      </c>
      <c r="V74" s="84">
        <f t="shared" si="82"/>
        <v>9095.7263194444458</v>
      </c>
      <c r="W74" s="84">
        <f t="shared" si="82"/>
        <v>29095.726319444446</v>
      </c>
      <c r="X74" s="84">
        <f t="shared" si="82"/>
        <v>29095.726319444446</v>
      </c>
      <c r="Y74" s="84">
        <f t="shared" si="82"/>
        <v>18495.726319444446</v>
      </c>
      <c r="Z74" s="84">
        <f t="shared" si="82"/>
        <v>8773.5040972222268</v>
      </c>
      <c r="AA74" s="84">
        <f t="shared" si="82"/>
        <v>8773.5040972222268</v>
      </c>
      <c r="AB74" s="84">
        <f t="shared" si="82"/>
        <v>8773.5040972222268</v>
      </c>
      <c r="AC74" s="84">
        <f t="shared" si="82"/>
        <v>8773.5040972222268</v>
      </c>
      <c r="AD74" s="84">
        <f t="shared" si="82"/>
        <v>8773.5040972222268</v>
      </c>
      <c r="AE74" s="84">
        <f t="shared" si="82"/>
        <v>8773.5040972222268</v>
      </c>
      <c r="AF74" s="84">
        <f t="shared" si="82"/>
        <v>8773.5040972222268</v>
      </c>
      <c r="AG74" s="84">
        <f>SUM(U74:AF74)</f>
        <v>176293.16027777788</v>
      </c>
    </row>
    <row r="75" spans="1:33" s="110" customFormat="1">
      <c r="A75" s="85">
        <v>9790</v>
      </c>
      <c r="B75" s="86" t="s">
        <v>129</v>
      </c>
      <c r="C75" s="56">
        <f t="shared" ref="C75:E75" si="83">C74/C10</f>
        <v>0</v>
      </c>
      <c r="D75" s="56">
        <f t="shared" si="83"/>
        <v>0</v>
      </c>
      <c r="E75" s="56">
        <f t="shared" si="83"/>
        <v>0</v>
      </c>
      <c r="G75" s="56">
        <f t="shared" ref="G75:K75" si="84">G74/G10</f>
        <v>-0.19457087074261631</v>
      </c>
      <c r="H75" s="56">
        <f t="shared" si="84"/>
        <v>-0.18936084685386564</v>
      </c>
      <c r="I75" s="56">
        <f t="shared" si="84"/>
        <v>-0.42477468272099128</v>
      </c>
      <c r="J75" s="56">
        <f t="shared" si="84"/>
        <v>-0.16241523501330948</v>
      </c>
      <c r="K75" s="56">
        <f t="shared" si="84"/>
        <v>-0.21171906805689947</v>
      </c>
      <c r="L75" s="56">
        <f t="shared" ref="L75:S75" si="85">L74/L10</f>
        <v>-0.48751452397107659</v>
      </c>
      <c r="M75" s="56">
        <f t="shared" si="85"/>
        <v>0.26407707039637862</v>
      </c>
      <c r="N75" s="56">
        <f t="shared" si="85"/>
        <v>0.48129362776391388</v>
      </c>
      <c r="O75" s="56">
        <f t="shared" si="85"/>
        <v>0.39034658464395566</v>
      </c>
      <c r="P75" s="56">
        <f t="shared" si="85"/>
        <v>0.70494492484475646</v>
      </c>
      <c r="Q75" s="56">
        <f t="shared" si="85"/>
        <v>0.61848702919157328</v>
      </c>
      <c r="R75" s="56">
        <f t="shared" si="85"/>
        <v>0.74748128373280709</v>
      </c>
      <c r="S75" s="56">
        <f t="shared" si="85"/>
        <v>6.119767812054458E-2</v>
      </c>
      <c r="T75" s="109"/>
      <c r="U75" s="56">
        <f t="shared" ref="U75:AG75" si="86">U74/U10</f>
        <v>0.50657059345559363</v>
      </c>
      <c r="V75" s="56">
        <f t="shared" si="86"/>
        <v>0.15836097126303372</v>
      </c>
      <c r="W75" s="56">
        <f t="shared" si="86"/>
        <v>0.50657059345559363</v>
      </c>
      <c r="X75" s="56">
        <f t="shared" si="86"/>
        <v>0.50657059345559363</v>
      </c>
      <c r="Y75" s="56">
        <f t="shared" si="86"/>
        <v>0.3948984339786018</v>
      </c>
      <c r="Z75" s="56">
        <f t="shared" si="86"/>
        <v>0.18732127458306655</v>
      </c>
      <c r="AA75" s="56">
        <f t="shared" si="86"/>
        <v>0.18732127458306655</v>
      </c>
      <c r="AB75" s="56">
        <f t="shared" si="86"/>
        <v>0.18732127458306655</v>
      </c>
      <c r="AC75" s="56">
        <f t="shared" si="86"/>
        <v>0.18732127458306655</v>
      </c>
      <c r="AD75" s="56">
        <f t="shared" si="86"/>
        <v>0.18732127458306655</v>
      </c>
      <c r="AE75" s="56">
        <f t="shared" si="86"/>
        <v>0.18732127458306655</v>
      </c>
      <c r="AF75" s="56">
        <f t="shared" si="86"/>
        <v>0.18732127458306655</v>
      </c>
      <c r="AG75" s="56">
        <f t="shared" si="86"/>
        <v>0.29166362298619858</v>
      </c>
    </row>
    <row r="76" spans="1:33">
      <c r="C76" s="111">
        <v>0.19659571563606479</v>
      </c>
      <c r="D76" s="111">
        <v>0.2027954116801734</v>
      </c>
      <c r="E76" s="111">
        <v>0.20809003662382283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U51" activePane="bottomRight" state="frozen"/>
      <selection activeCell="W50" sqref="W50"/>
      <selection pane="topRight" activeCell="W50" sqref="W50"/>
      <selection pane="bottomLeft" activeCell="W50" sqref="W50"/>
      <selection pane="bottomRight" activeCell="B53" sqref="B53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4.7109375" style="45" customWidth="1" outlineLevel="1"/>
    <col min="33" max="33" width="14.140625" style="45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3100</v>
      </c>
      <c r="B2" s="232" t="s">
        <v>63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collapsed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30">SUM(U34:AF34)</f>
        <v>0</v>
      </c>
    </row>
    <row r="35" spans="1:43" s="96" customFormat="1" hidden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 hidden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 hidden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 hidden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f t="shared" si="30"/>
        <v>0</v>
      </c>
    </row>
    <row r="39" spans="1:43" s="96" customFormat="1" hidden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0</v>
      </c>
      <c r="V39" s="41">
        <f t="shared" si="33"/>
        <v>0</v>
      </c>
      <c r="W39" s="41">
        <f t="shared" si="33"/>
        <v>0</v>
      </c>
      <c r="X39" s="41">
        <f t="shared" si="33"/>
        <v>0</v>
      </c>
      <c r="Y39" s="41">
        <f t="shared" si="33"/>
        <v>0</v>
      </c>
      <c r="Z39" s="41">
        <f t="shared" si="33"/>
        <v>0</v>
      </c>
      <c r="AA39" s="41">
        <f t="shared" si="33"/>
        <v>0</v>
      </c>
      <c r="AB39" s="41">
        <f t="shared" si="33"/>
        <v>0</v>
      </c>
      <c r="AC39" s="41">
        <f t="shared" si="33"/>
        <v>0</v>
      </c>
      <c r="AD39" s="41">
        <f t="shared" si="33"/>
        <v>0</v>
      </c>
      <c r="AE39" s="41">
        <f t="shared" si="33"/>
        <v>0</v>
      </c>
      <c r="AF39" s="41">
        <f t="shared" si="33"/>
        <v>0</v>
      </c>
      <c r="AG39" s="41">
        <f t="shared" si="30"/>
        <v>0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0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0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43956</v>
      </c>
      <c r="V53" s="234">
        <f>VLOOKUP($A$2,osobni!$F$31:$EQ$44,osobni!EF$3,FALSE)</f>
        <v>43846</v>
      </c>
      <c r="W53" s="234">
        <f>VLOOKUP($A$2,osobni!$F$31:$EQ$44,osobni!EG$3,FALSE)</f>
        <v>43901</v>
      </c>
      <c r="X53" s="234">
        <f>VLOOKUP($A$2,osobni!$F$31:$EQ$44,osobni!EH$3,FALSE)</f>
        <v>43846</v>
      </c>
      <c r="Y53" s="234">
        <f>VLOOKUP($A$2,osobni!$F$31:$EQ$44,osobni!EI$3,FALSE)</f>
        <v>43901</v>
      </c>
      <c r="Z53" s="234">
        <f>VLOOKUP($A$2,osobni!$F$31:$EQ$44,osobni!EJ$3,FALSE)</f>
        <v>43901</v>
      </c>
      <c r="AA53" s="234">
        <f>VLOOKUP($A$2,osobni!$F$31:$EQ$44,osobni!EK$3,FALSE)</f>
        <v>43846</v>
      </c>
      <c r="AB53" s="234">
        <f>VLOOKUP($A$2,osobni!$F$31:$EQ$44,osobni!EL$3,FALSE)</f>
        <v>44011</v>
      </c>
      <c r="AC53" s="234">
        <f>VLOOKUP($A$2,osobni!$F$31:$EQ$44,osobni!EM$3,FALSE)</f>
        <v>43791</v>
      </c>
      <c r="AD53" s="234">
        <f>VLOOKUP($A$2,osobni!$F$31:$EQ$44,osobni!EN$3,FALSE)</f>
        <v>44011</v>
      </c>
      <c r="AE53" s="234">
        <f>VLOOKUP($A$2,osobni!$F$31:$EQ$44,osobni!EO$3,FALSE)</f>
        <v>43956</v>
      </c>
      <c r="AF53" s="234">
        <f>VLOOKUP($A$2,osobni!$F$31:$EQ$44,osobni!EP$3,FALSE)</f>
        <v>43736</v>
      </c>
      <c r="AG53" s="51">
        <f t="shared" si="30"/>
        <v>526702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30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30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0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32200</v>
      </c>
      <c r="V57" s="234">
        <f>VLOOKUP($A$2,'odb. sluzby'!$C$15:$AE$29,'odb. sluzby'!T$15,FALSE)</f>
        <v>32200</v>
      </c>
      <c r="W57" s="234">
        <f>VLOOKUP($A$2,'odb. sluzby'!$C$15:$AE$29,'odb. sluzby'!U$15,FALSE)</f>
        <v>32200</v>
      </c>
      <c r="X57" s="234">
        <f>VLOOKUP($A$2,'odb. sluzby'!$C$15:$AE$29,'odb. sluzby'!V$15,FALSE)</f>
        <v>32200</v>
      </c>
      <c r="Y57" s="234">
        <f>VLOOKUP($A$2,'odb. sluzby'!$C$15:$AE$29,'odb. sluzby'!W$15,FALSE)</f>
        <v>32200</v>
      </c>
      <c r="Z57" s="234">
        <f>VLOOKUP($A$2,'odb. sluzby'!$C$15:$AE$29,'odb. sluzby'!X$15,FALSE)</f>
        <v>52200</v>
      </c>
      <c r="AA57" s="234">
        <f>VLOOKUP($A$2,'odb. sluzby'!$C$15:$AE$29,'odb. sluzby'!Y$15,FALSE)</f>
        <v>32200</v>
      </c>
      <c r="AB57" s="234">
        <f>VLOOKUP($A$2,'odb. sluzby'!$C$15:$AE$29,'odb. sluzby'!Z$15,FALSE)</f>
        <v>32200</v>
      </c>
      <c r="AC57" s="234">
        <f>VLOOKUP($A$2,'odb. sluzby'!$C$15:$AE$29,'odb. sluzby'!AA$15,FALSE)</f>
        <v>32200</v>
      </c>
      <c r="AD57" s="234">
        <f>VLOOKUP($A$2,'odb. sluzby'!$C$15:$AE$29,'odb. sluzby'!AB$15,FALSE)</f>
        <v>32200</v>
      </c>
      <c r="AE57" s="234">
        <f>VLOOKUP($A$2,'odb. sluzby'!$C$15:$AE$29,'odb. sluzby'!AC$15,FALSE)</f>
        <v>32200</v>
      </c>
      <c r="AF57" s="234">
        <f>VLOOKUP($A$2,'odb. sluzby'!$C$15:$AE$29,'odb. sluzby'!AD$15,FALSE)</f>
        <v>52200</v>
      </c>
      <c r="AG57" s="51">
        <f t="shared" si="30"/>
        <v>426400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32783</v>
      </c>
      <c r="V58" s="234">
        <f>VLOOKUP($A$2,IT!$C$15:$AE$29,IT!T$16,FALSE)</f>
        <v>32783</v>
      </c>
      <c r="W58" s="234">
        <f>VLOOKUP($A$2,IT!$C$15:$AE$29,IT!U$16,FALSE)</f>
        <v>32783</v>
      </c>
      <c r="X58" s="234">
        <f>VLOOKUP($A$2,IT!$C$15:$AE$29,IT!V$16,FALSE)</f>
        <v>32783</v>
      </c>
      <c r="Y58" s="234">
        <f>VLOOKUP($A$2,IT!$C$15:$AE$29,IT!W$16,FALSE)</f>
        <v>32783</v>
      </c>
      <c r="Z58" s="234">
        <f>VLOOKUP($A$2,IT!$C$15:$AE$29,IT!X$16,FALSE)</f>
        <v>62783</v>
      </c>
      <c r="AA58" s="234">
        <f>VLOOKUP($A$2,IT!$C$15:$AE$29,IT!Y$16,FALSE)</f>
        <v>62783</v>
      </c>
      <c r="AB58" s="234">
        <f>VLOOKUP($A$2,IT!$C$15:$AE$29,IT!Z$16,FALSE)</f>
        <v>62783</v>
      </c>
      <c r="AC58" s="234">
        <f>VLOOKUP($A$2,IT!$C$15:$AE$29,IT!AA$16,FALSE)</f>
        <v>62783</v>
      </c>
      <c r="AD58" s="234">
        <f>VLOOKUP($A$2,IT!$C$15:$AE$29,IT!AB$16,FALSE)</f>
        <v>62783</v>
      </c>
      <c r="AE58" s="234">
        <f>VLOOKUP($A$2,IT!$C$15:$AE$29,IT!AC$16,FALSE)</f>
        <v>62783</v>
      </c>
      <c r="AF58" s="234">
        <f>VLOOKUP($A$2,IT!$C$15:$AE$29,IT!AD$16,FALSE)</f>
        <v>62783</v>
      </c>
      <c r="AG58" s="51">
        <f t="shared" ref="AG58" si="37">SUM(U58:AF58)</f>
        <v>603396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234">
        <f>VLOOKUP($A$2,investice!$C$51:$AG$65,investice!U$51,FALSE)</f>
        <v>0</v>
      </c>
      <c r="V59" s="234">
        <f>VLOOKUP($A$2,investice!$C$51:$AG$65,investice!V$51,FALSE)</f>
        <v>0</v>
      </c>
      <c r="W59" s="234">
        <f>VLOOKUP($A$2,investice!$C$51:$AG$65,investice!W$51,FALSE)</f>
        <v>20000</v>
      </c>
      <c r="X59" s="234">
        <f>VLOOKUP($A$2,investice!$C$51:$AG$65,investice!X$51,FALSE)</f>
        <v>20000</v>
      </c>
      <c r="Y59" s="234">
        <f>VLOOKUP($A$2,investice!$C$51:$AG$65,investice!Y$51,FALSE)</f>
        <v>20000</v>
      </c>
      <c r="Z59" s="234">
        <f>VLOOKUP($A$2,investice!$C$51:$AG$65,investice!Z$51,FALSE)</f>
        <v>20000</v>
      </c>
      <c r="AA59" s="234">
        <f>VLOOKUP($A$2,investice!$C$51:$AG$65,investice!AA$51,FALSE)</f>
        <v>20000</v>
      </c>
      <c r="AB59" s="234">
        <f>VLOOKUP($A$2,investice!$C$51:$AG$65,investice!AB$51,FALSE)</f>
        <v>20000</v>
      </c>
      <c r="AC59" s="234">
        <f>VLOOKUP($A$2,investice!$C$51:$AG$65,investice!AC$51,FALSE)</f>
        <v>20000</v>
      </c>
      <c r="AD59" s="234">
        <f>VLOOKUP($A$2,investice!$C$51:$AG$65,investice!AD$51,FALSE)</f>
        <v>20000</v>
      </c>
      <c r="AE59" s="234">
        <f>VLOOKUP($A$2,investice!$C$51:$AG$65,investice!AE$51,FALSE)</f>
        <v>20000</v>
      </c>
      <c r="AF59" s="234">
        <f>VLOOKUP($A$2,investice!$C$51:$AG$65,investice!AF$51,FALSE)</f>
        <v>20000</v>
      </c>
      <c r="AG59" s="51">
        <f t="shared" si="30"/>
        <v>200000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333.33333333333331</v>
      </c>
      <c r="V60" s="235">
        <f>VLOOKUP($A$2,osobni!$F$31:$EQ$44,osobni!DD$3,FALSE)</f>
        <v>333.33333333333331</v>
      </c>
      <c r="W60" s="235">
        <f>VLOOKUP($A$2,osobni!$F$31:$EQ$44,osobni!DE$3,FALSE)</f>
        <v>333.33333333333331</v>
      </c>
      <c r="X60" s="235">
        <f>VLOOKUP($A$2,osobni!$F$31:$EQ$44,osobni!DF$3,FALSE)</f>
        <v>333.33333333333331</v>
      </c>
      <c r="Y60" s="235">
        <f>VLOOKUP($A$2,osobni!$F$31:$EQ$44,osobni!DG$3,FALSE)</f>
        <v>333.33333333333331</v>
      </c>
      <c r="Z60" s="235">
        <f>VLOOKUP($A$2,osobni!$F$31:$EQ$44,osobni!DH$3,FALSE)</f>
        <v>333.33333333333331</v>
      </c>
      <c r="AA60" s="235">
        <f>VLOOKUP($A$2,osobni!$F$31:$EQ$44,osobni!DI$3,FALSE)</f>
        <v>333.33333333333331</v>
      </c>
      <c r="AB60" s="235">
        <f>VLOOKUP($A$2,osobni!$F$31:$EQ$44,osobni!DJ$3,FALSE)</f>
        <v>333.33333333333331</v>
      </c>
      <c r="AC60" s="235">
        <f>VLOOKUP($A$2,osobni!$F$31:$EQ$44,osobni!DK$3,FALSE)</f>
        <v>333.33333333333331</v>
      </c>
      <c r="AD60" s="235">
        <f>VLOOKUP($A$2,osobni!$F$31:$EQ$44,osobni!DL$3,FALSE)</f>
        <v>333.33333333333331</v>
      </c>
      <c r="AE60" s="235">
        <f>VLOOKUP($A$2,osobni!$F$31:$EQ$44,osobni!DM$3,FALSE)</f>
        <v>333.33333333333331</v>
      </c>
      <c r="AF60" s="235">
        <f>VLOOKUP($A$2,osobni!$F$31:$EQ$44,osobni!DN$3,FALSE)</f>
        <v>333.33333333333331</v>
      </c>
      <c r="AG60" s="44">
        <f t="shared" si="30"/>
        <v>4000.0000000000005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109272.33333333333</v>
      </c>
      <c r="V61" s="41">
        <f t="shared" si="40"/>
        <v>109162.33333333333</v>
      </c>
      <c r="W61" s="41">
        <f t="shared" si="40"/>
        <v>129217.33333333333</v>
      </c>
      <c r="X61" s="41">
        <f t="shared" si="40"/>
        <v>129162.33333333333</v>
      </c>
      <c r="Y61" s="41">
        <f t="shared" si="40"/>
        <v>129217.33333333333</v>
      </c>
      <c r="Z61" s="41">
        <f t="shared" si="40"/>
        <v>179217.33333333334</v>
      </c>
      <c r="AA61" s="41">
        <f t="shared" si="40"/>
        <v>159162.33333333334</v>
      </c>
      <c r="AB61" s="41">
        <f t="shared" si="40"/>
        <v>159327.33333333334</v>
      </c>
      <c r="AC61" s="41">
        <f t="shared" si="40"/>
        <v>159107.33333333334</v>
      </c>
      <c r="AD61" s="41">
        <f t="shared" si="40"/>
        <v>159327.33333333334</v>
      </c>
      <c r="AE61" s="41">
        <f t="shared" si="40"/>
        <v>159272.33333333334</v>
      </c>
      <c r="AF61" s="41">
        <f t="shared" si="40"/>
        <v>179052.33333333334</v>
      </c>
      <c r="AG61" s="41">
        <f t="shared" si="30"/>
        <v>1760497.9999999998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-109272.33333333333</v>
      </c>
      <c r="V64" s="63">
        <f t="shared" si="43"/>
        <v>-109162.33333333333</v>
      </c>
      <c r="W64" s="63">
        <f t="shared" si="43"/>
        <v>-129217.33333333333</v>
      </c>
      <c r="X64" s="63">
        <f t="shared" si="43"/>
        <v>-129162.33333333333</v>
      </c>
      <c r="Y64" s="63">
        <f t="shared" si="43"/>
        <v>-129217.33333333333</v>
      </c>
      <c r="Z64" s="63">
        <f t="shared" si="43"/>
        <v>-179217.33333333334</v>
      </c>
      <c r="AA64" s="63">
        <f t="shared" si="43"/>
        <v>-159162.33333333334</v>
      </c>
      <c r="AB64" s="63">
        <f t="shared" si="43"/>
        <v>-159327.33333333334</v>
      </c>
      <c r="AC64" s="63">
        <f t="shared" si="43"/>
        <v>-159107.33333333334</v>
      </c>
      <c r="AD64" s="63">
        <f t="shared" si="43"/>
        <v>-159327.33333333334</v>
      </c>
      <c r="AE64" s="63">
        <f t="shared" si="43"/>
        <v>-159272.33333333334</v>
      </c>
      <c r="AF64" s="63">
        <f t="shared" si="43"/>
        <v>-179052.33333333334</v>
      </c>
      <c r="AG64" s="63">
        <f t="shared" si="30"/>
        <v>-1760497.9999999998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f>64000/12</f>
        <v>5333.333333333333</v>
      </c>
      <c r="V66" s="67">
        <f t="shared" ref="V66:AF66" si="47">64000/12</f>
        <v>5333.333333333333</v>
      </c>
      <c r="W66" s="67">
        <f t="shared" si="47"/>
        <v>5333.333333333333</v>
      </c>
      <c r="X66" s="67">
        <f t="shared" si="47"/>
        <v>5333.333333333333</v>
      </c>
      <c r="Y66" s="67">
        <f t="shared" si="47"/>
        <v>5333.333333333333</v>
      </c>
      <c r="Z66" s="67">
        <f t="shared" si="47"/>
        <v>5333.333333333333</v>
      </c>
      <c r="AA66" s="67">
        <f t="shared" si="47"/>
        <v>5333.333333333333</v>
      </c>
      <c r="AB66" s="67">
        <f t="shared" si="47"/>
        <v>5333.333333333333</v>
      </c>
      <c r="AC66" s="67">
        <f t="shared" si="47"/>
        <v>5333.333333333333</v>
      </c>
      <c r="AD66" s="67">
        <f t="shared" si="47"/>
        <v>5333.333333333333</v>
      </c>
      <c r="AE66" s="67">
        <f t="shared" si="47"/>
        <v>5333.333333333333</v>
      </c>
      <c r="AF66" s="67">
        <f t="shared" si="47"/>
        <v>5333.333333333333</v>
      </c>
      <c r="AG66" s="67">
        <f>SUM(U66:AF66)</f>
        <v>64000.000000000007</v>
      </c>
    </row>
    <row r="67" spans="1:33" s="104" customFormat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7">
        <f>56000/12</f>
        <v>4666.666666666667</v>
      </c>
      <c r="V67" s="67">
        <f t="shared" ref="V67:AF67" si="48">56000/12</f>
        <v>4666.666666666667</v>
      </c>
      <c r="W67" s="67">
        <f t="shared" si="48"/>
        <v>4666.666666666667</v>
      </c>
      <c r="X67" s="67">
        <f t="shared" si="48"/>
        <v>4666.666666666667</v>
      </c>
      <c r="Y67" s="67">
        <f t="shared" si="48"/>
        <v>4666.666666666667</v>
      </c>
      <c r="Z67" s="67">
        <f t="shared" si="48"/>
        <v>4666.666666666667</v>
      </c>
      <c r="AA67" s="67">
        <f t="shared" si="48"/>
        <v>4666.666666666667</v>
      </c>
      <c r="AB67" s="67">
        <f t="shared" si="48"/>
        <v>4666.666666666667</v>
      </c>
      <c r="AC67" s="67">
        <f t="shared" si="48"/>
        <v>4666.666666666667</v>
      </c>
      <c r="AD67" s="67">
        <f t="shared" si="48"/>
        <v>4666.666666666667</v>
      </c>
      <c r="AE67" s="67">
        <f t="shared" si="48"/>
        <v>4666.666666666667</v>
      </c>
      <c r="AF67" s="67">
        <f t="shared" si="48"/>
        <v>4666.666666666667</v>
      </c>
      <c r="AG67" s="69">
        <f>SUM(U67:AF67)</f>
        <v>55999.999999999993</v>
      </c>
    </row>
    <row r="68" spans="1:33" s="98" customFormat="1">
      <c r="A68" s="70">
        <v>9800</v>
      </c>
      <c r="B68" s="71" t="s">
        <v>124</v>
      </c>
      <c r="C68" s="72">
        <f t="shared" ref="C68:E68" si="49">C64-C66+C67</f>
        <v>0</v>
      </c>
      <c r="D68" s="72">
        <f t="shared" si="49"/>
        <v>0</v>
      </c>
      <c r="E68" s="72">
        <f t="shared" si="49"/>
        <v>0</v>
      </c>
      <c r="G68" s="72">
        <f t="shared" ref="G68:R68" si="50">G64-G66+G67</f>
        <v>0</v>
      </c>
      <c r="H68" s="72">
        <f t="shared" si="50"/>
        <v>0</v>
      </c>
      <c r="I68" s="72">
        <f t="shared" si="50"/>
        <v>0</v>
      </c>
      <c r="J68" s="72">
        <f t="shared" si="50"/>
        <v>0</v>
      </c>
      <c r="K68" s="72">
        <f t="shared" si="50"/>
        <v>0</v>
      </c>
      <c r="L68" s="72">
        <f t="shared" si="50"/>
        <v>0</v>
      </c>
      <c r="M68" s="72">
        <f t="shared" si="50"/>
        <v>0</v>
      </c>
      <c r="N68" s="72">
        <f t="shared" si="50"/>
        <v>0</v>
      </c>
      <c r="O68" s="72">
        <f t="shared" si="50"/>
        <v>0</v>
      </c>
      <c r="P68" s="72">
        <f t="shared" si="50"/>
        <v>0</v>
      </c>
      <c r="Q68" s="72">
        <f t="shared" si="50"/>
        <v>0</v>
      </c>
      <c r="R68" s="72">
        <f t="shared" si="50"/>
        <v>0</v>
      </c>
      <c r="S68" s="72">
        <f>SUM(G68:R68)</f>
        <v>0</v>
      </c>
      <c r="T68" s="96"/>
      <c r="U68" s="72">
        <f t="shared" ref="U68:AF68" si="51">U64-U66+U67</f>
        <v>-109938.99999999999</v>
      </c>
      <c r="V68" s="72">
        <f t="shared" si="51"/>
        <v>-109828.99999999999</v>
      </c>
      <c r="W68" s="72">
        <f t="shared" si="51"/>
        <v>-129883.99999999999</v>
      </c>
      <c r="X68" s="72">
        <f t="shared" si="51"/>
        <v>-129828.99999999999</v>
      </c>
      <c r="Y68" s="72">
        <f t="shared" si="51"/>
        <v>-129883.99999999999</v>
      </c>
      <c r="Z68" s="72">
        <f t="shared" si="51"/>
        <v>-179884.00000000003</v>
      </c>
      <c r="AA68" s="72">
        <f t="shared" si="51"/>
        <v>-159829.00000000003</v>
      </c>
      <c r="AB68" s="72">
        <f t="shared" si="51"/>
        <v>-159994.00000000003</v>
      </c>
      <c r="AC68" s="72">
        <f t="shared" si="51"/>
        <v>-159774.00000000003</v>
      </c>
      <c r="AD68" s="72">
        <f t="shared" si="51"/>
        <v>-159994.00000000003</v>
      </c>
      <c r="AE68" s="72">
        <f t="shared" si="51"/>
        <v>-159939.00000000003</v>
      </c>
      <c r="AF68" s="72">
        <f t="shared" si="51"/>
        <v>-179719.00000000003</v>
      </c>
      <c r="AG68" s="72">
        <f>SUM(U68:AF68)</f>
        <v>-1768498</v>
      </c>
    </row>
    <row r="69" spans="1:33" s="106" customFormat="1" ht="26.1" customHeight="1">
      <c r="A69" s="73">
        <v>7100</v>
      </c>
      <c r="B69" s="74" t="s">
        <v>3</v>
      </c>
      <c r="C69" s="213">
        <f>'PLAN 2018'!C69</f>
        <v>633571.39633332728</v>
      </c>
      <c r="D69" s="213">
        <f>'PLAN 2018'!D69</f>
        <v>676568.66322555672</v>
      </c>
      <c r="E69" s="213">
        <f>'PLAN 2018'!E69</f>
        <v>695782.19169777934</v>
      </c>
      <c r="F69" s="214"/>
      <c r="G69" s="213">
        <f>'PLAN 2018'!G69</f>
        <v>22906.013487943845</v>
      </c>
      <c r="H69" s="213">
        <f>'PLAN 2018'!H69</f>
        <v>26806.178041716976</v>
      </c>
      <c r="I69" s="213">
        <f>'PLAN 2018'!I69</f>
        <v>83684.238032093723</v>
      </c>
      <c r="J69" s="213">
        <f>'PLAN 2018'!J69</f>
        <v>114341.70471236578</v>
      </c>
      <c r="K69" s="213">
        <f>'PLAN 2018'!K69</f>
        <v>76979.172106422586</v>
      </c>
      <c r="L69" s="213">
        <f>'PLAN 2018'!L69</f>
        <v>88356.45512838506</v>
      </c>
      <c r="M69" s="213">
        <f>'PLAN 2018'!M69</f>
        <v>56966.958846461988</v>
      </c>
      <c r="N69" s="213">
        <f>'PLAN 2018'!N69</f>
        <v>107660.3753360469</v>
      </c>
      <c r="O69" s="213">
        <f>'PLAN 2018'!O69</f>
        <v>18368.393295731286</v>
      </c>
      <c r="P69" s="213">
        <f>'PLAN 2018'!P69</f>
        <v>67769.915516676265</v>
      </c>
      <c r="Q69" s="213">
        <f>'PLAN 2018'!Q69</f>
        <v>18654.493917265569</v>
      </c>
      <c r="R69" s="213">
        <f>'PLAN 2018'!R69</f>
        <v>23899.213283851521</v>
      </c>
      <c r="S69" s="213">
        <f>SUM(G69:R69)</f>
        <v>706393.11170496151</v>
      </c>
      <c r="T69" s="214"/>
      <c r="U69" s="213">
        <f>'PLAN 2018'!U69</f>
        <v>-350994.68133131706</v>
      </c>
      <c r="V69" s="213">
        <f>'PLAN 2018'!V69</f>
        <v>-231037.42576147337</v>
      </c>
      <c r="W69" s="213">
        <f>'PLAN 2018'!W69</f>
        <v>245994.2614026746</v>
      </c>
      <c r="X69" s="213">
        <f>'PLAN 2018'!X69</f>
        <v>-153899.34209619602</v>
      </c>
      <c r="Y69" s="213">
        <f>'PLAN 2018'!Y69</f>
        <v>-179708.99055126411</v>
      </c>
      <c r="Z69" s="213">
        <f>'PLAN 2018'!Z69</f>
        <v>467964.5254339276</v>
      </c>
      <c r="AA69" s="213">
        <f>'PLAN 2018'!AA69</f>
        <v>-161105.72006276349</v>
      </c>
      <c r="AB69" s="213">
        <f>'PLAN 2018'!AB69</f>
        <v>318271.44519652094</v>
      </c>
      <c r="AC69" s="213">
        <f>'PLAN 2018'!AC69</f>
        <v>321962.13907129219</v>
      </c>
      <c r="AD69" s="213">
        <f>'PLAN 2018'!AD69</f>
        <v>159143.51134636431</v>
      </c>
      <c r="AE69" s="213">
        <f>'PLAN 2018'!AE69</f>
        <v>-4118.8682391849425</v>
      </c>
      <c r="AF69" s="213">
        <f>'PLAN 2018'!AF69</f>
        <v>-147911.68610658866</v>
      </c>
      <c r="AG69" s="213">
        <f>SUM(U69:AF69)</f>
        <v>284559.16830199189</v>
      </c>
    </row>
    <row r="70" spans="1:33" s="98" customFormat="1">
      <c r="A70" s="76">
        <v>9900</v>
      </c>
      <c r="B70" s="77" t="s">
        <v>125</v>
      </c>
      <c r="C70" s="78">
        <f t="shared" ref="C70:E70" si="52">C68-C69</f>
        <v>-633571.39633332728</v>
      </c>
      <c r="D70" s="78">
        <f t="shared" si="52"/>
        <v>-676568.66322555672</v>
      </c>
      <c r="E70" s="78">
        <f t="shared" si="52"/>
        <v>-695782.19169777934</v>
      </c>
      <c r="G70" s="78">
        <f t="shared" ref="G70:R70" si="53">G68-G69</f>
        <v>-22906.013487943845</v>
      </c>
      <c r="H70" s="78">
        <f t="shared" si="53"/>
        <v>-26806.178041716976</v>
      </c>
      <c r="I70" s="78">
        <f t="shared" si="53"/>
        <v>-83684.238032093723</v>
      </c>
      <c r="J70" s="78">
        <f t="shared" si="53"/>
        <v>-114341.70471236578</v>
      </c>
      <c r="K70" s="78">
        <f t="shared" si="53"/>
        <v>-76979.172106422586</v>
      </c>
      <c r="L70" s="78">
        <f t="shared" si="53"/>
        <v>-88356.45512838506</v>
      </c>
      <c r="M70" s="78">
        <f t="shared" si="53"/>
        <v>-56966.958846461988</v>
      </c>
      <c r="N70" s="78">
        <f t="shared" si="53"/>
        <v>-107660.3753360469</v>
      </c>
      <c r="O70" s="78">
        <f t="shared" si="53"/>
        <v>-18368.393295731286</v>
      </c>
      <c r="P70" s="78">
        <f t="shared" si="53"/>
        <v>-67769.915516676265</v>
      </c>
      <c r="Q70" s="78">
        <f t="shared" si="53"/>
        <v>-18654.493917265569</v>
      </c>
      <c r="R70" s="78">
        <f t="shared" si="53"/>
        <v>-23899.213283851521</v>
      </c>
      <c r="S70" s="78">
        <f>SUM(G70:R70)</f>
        <v>-706393.11170496151</v>
      </c>
      <c r="T70" s="96"/>
      <c r="U70" s="78">
        <f t="shared" ref="U70:AF70" si="54">U68-U69</f>
        <v>241055.68133131706</v>
      </c>
      <c r="V70" s="78">
        <f t="shared" si="54"/>
        <v>121208.42576147338</v>
      </c>
      <c r="W70" s="78">
        <f t="shared" si="54"/>
        <v>-375878.2614026746</v>
      </c>
      <c r="X70" s="78">
        <f t="shared" si="54"/>
        <v>24070.342096196036</v>
      </c>
      <c r="Y70" s="78">
        <f t="shared" si="54"/>
        <v>49824.990551264127</v>
      </c>
      <c r="Z70" s="78">
        <f t="shared" si="54"/>
        <v>-647848.52543392766</v>
      </c>
      <c r="AA70" s="78">
        <f t="shared" si="54"/>
        <v>1276.7200627634593</v>
      </c>
      <c r="AB70" s="78">
        <f t="shared" si="54"/>
        <v>-478265.445196521</v>
      </c>
      <c r="AC70" s="78">
        <f t="shared" si="54"/>
        <v>-481736.13907129224</v>
      </c>
      <c r="AD70" s="78">
        <f t="shared" si="54"/>
        <v>-319137.51134636434</v>
      </c>
      <c r="AE70" s="78">
        <f t="shared" si="54"/>
        <v>-155820.1317608151</v>
      </c>
      <c r="AF70" s="78">
        <f t="shared" si="54"/>
        <v>-31807.313893411367</v>
      </c>
      <c r="AG70" s="78">
        <f>SUM(U70:AF70)</f>
        <v>-2053057.1683019924</v>
      </c>
    </row>
    <row r="71" spans="1:33" s="102" customFormat="1" ht="15.75" thickBot="1">
      <c r="A71" s="79">
        <v>9990</v>
      </c>
      <c r="B71" s="65" t="s">
        <v>126</v>
      </c>
      <c r="C71" s="80" t="e">
        <f t="shared" ref="C71:E71" si="55">C70/C10</f>
        <v>#DIV/0!</v>
      </c>
      <c r="D71" s="80" t="e">
        <f t="shared" si="55"/>
        <v>#DIV/0!</v>
      </c>
      <c r="E71" s="80" t="e">
        <f t="shared" si="55"/>
        <v>#DIV/0!</v>
      </c>
      <c r="G71" s="80" t="e">
        <f t="shared" ref="G71:S71" si="56">G70/G10</f>
        <v>#DIV/0!</v>
      </c>
      <c r="H71" s="80" t="e">
        <f t="shared" si="56"/>
        <v>#DIV/0!</v>
      </c>
      <c r="I71" s="80" t="e">
        <f t="shared" si="56"/>
        <v>#DIV/0!</v>
      </c>
      <c r="J71" s="80" t="e">
        <f t="shared" si="56"/>
        <v>#DIV/0!</v>
      </c>
      <c r="K71" s="80" t="e">
        <f t="shared" si="56"/>
        <v>#DIV/0!</v>
      </c>
      <c r="L71" s="80" t="e">
        <f t="shared" si="56"/>
        <v>#DIV/0!</v>
      </c>
      <c r="M71" s="80" t="e">
        <f t="shared" si="56"/>
        <v>#DIV/0!</v>
      </c>
      <c r="N71" s="80" t="e">
        <f t="shared" si="56"/>
        <v>#DIV/0!</v>
      </c>
      <c r="O71" s="80" t="e">
        <f t="shared" si="56"/>
        <v>#DIV/0!</v>
      </c>
      <c r="P71" s="80" t="e">
        <f t="shared" si="56"/>
        <v>#DIV/0!</v>
      </c>
      <c r="Q71" s="80" t="e">
        <f t="shared" si="56"/>
        <v>#DIV/0!</v>
      </c>
      <c r="R71" s="80" t="e">
        <f t="shared" si="56"/>
        <v>#DIV/0!</v>
      </c>
      <c r="S71" s="80" t="e">
        <f t="shared" si="56"/>
        <v>#DIV/0!</v>
      </c>
      <c r="U71" s="80" t="e">
        <f t="shared" ref="U71:AG71" si="57">U70/U10</f>
        <v>#DIV/0!</v>
      </c>
      <c r="V71" s="80" t="e">
        <f t="shared" si="57"/>
        <v>#DIV/0!</v>
      </c>
      <c r="W71" s="80" t="e">
        <f t="shared" si="57"/>
        <v>#DIV/0!</v>
      </c>
      <c r="X71" s="80" t="e">
        <f t="shared" si="57"/>
        <v>#DIV/0!</v>
      </c>
      <c r="Y71" s="80" t="e">
        <f t="shared" si="57"/>
        <v>#DIV/0!</v>
      </c>
      <c r="Z71" s="80" t="e">
        <f t="shared" si="57"/>
        <v>#DIV/0!</v>
      </c>
      <c r="AA71" s="80" t="e">
        <f t="shared" si="57"/>
        <v>#DIV/0!</v>
      </c>
      <c r="AB71" s="80" t="e">
        <f t="shared" si="57"/>
        <v>#DIV/0!</v>
      </c>
      <c r="AC71" s="80" t="e">
        <f t="shared" si="57"/>
        <v>#DIV/0!</v>
      </c>
      <c r="AD71" s="80" t="e">
        <f t="shared" si="57"/>
        <v>#DIV/0!</v>
      </c>
      <c r="AE71" s="80" t="e">
        <f t="shared" si="57"/>
        <v>#DIV/0!</v>
      </c>
      <c r="AF71" s="80" t="e">
        <f t="shared" si="57"/>
        <v>#DIV/0!</v>
      </c>
      <c r="AG71" s="80" t="e">
        <f t="shared" si="57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8">C64+C73</f>
        <v>0</v>
      </c>
      <c r="D74" s="84">
        <f t="shared" si="58"/>
        <v>0</v>
      </c>
      <c r="E74" s="84">
        <f t="shared" si="58"/>
        <v>0</v>
      </c>
      <c r="G74" s="84">
        <f t="shared" ref="G74:R74" si="59">G64+G73</f>
        <v>0</v>
      </c>
      <c r="H74" s="84">
        <f t="shared" si="59"/>
        <v>0</v>
      </c>
      <c r="I74" s="84">
        <f t="shared" si="59"/>
        <v>0</v>
      </c>
      <c r="J74" s="84">
        <f t="shared" si="59"/>
        <v>0</v>
      </c>
      <c r="K74" s="84">
        <f t="shared" si="59"/>
        <v>0</v>
      </c>
      <c r="L74" s="84">
        <f t="shared" si="59"/>
        <v>0</v>
      </c>
      <c r="M74" s="84">
        <f t="shared" si="59"/>
        <v>0</v>
      </c>
      <c r="N74" s="84">
        <f t="shared" si="59"/>
        <v>0</v>
      </c>
      <c r="O74" s="84">
        <f t="shared" si="59"/>
        <v>0</v>
      </c>
      <c r="P74" s="84">
        <f t="shared" si="59"/>
        <v>0</v>
      </c>
      <c r="Q74" s="84">
        <f t="shared" si="59"/>
        <v>0</v>
      </c>
      <c r="R74" s="84">
        <f t="shared" si="59"/>
        <v>0</v>
      </c>
      <c r="S74" s="84">
        <f>SUM(G74:R74)</f>
        <v>0</v>
      </c>
      <c r="U74" s="84">
        <f t="shared" ref="U74:AF74" si="60">U64+U73</f>
        <v>-109272.33333333333</v>
      </c>
      <c r="V74" s="84">
        <f t="shared" si="60"/>
        <v>-109162.33333333333</v>
      </c>
      <c r="W74" s="84">
        <f t="shared" si="60"/>
        <v>-129217.33333333333</v>
      </c>
      <c r="X74" s="84">
        <f t="shared" si="60"/>
        <v>-129162.33333333333</v>
      </c>
      <c r="Y74" s="84">
        <f t="shared" si="60"/>
        <v>-129217.33333333333</v>
      </c>
      <c r="Z74" s="84">
        <f t="shared" si="60"/>
        <v>-179217.33333333334</v>
      </c>
      <c r="AA74" s="84">
        <f t="shared" si="60"/>
        <v>-159162.33333333334</v>
      </c>
      <c r="AB74" s="84">
        <f t="shared" si="60"/>
        <v>-159327.33333333334</v>
      </c>
      <c r="AC74" s="84">
        <f t="shared" si="60"/>
        <v>-159107.33333333334</v>
      </c>
      <c r="AD74" s="84">
        <f t="shared" si="60"/>
        <v>-159327.33333333334</v>
      </c>
      <c r="AE74" s="84">
        <f t="shared" si="60"/>
        <v>-159272.33333333334</v>
      </c>
      <c r="AF74" s="84">
        <f t="shared" si="60"/>
        <v>-179052.33333333334</v>
      </c>
      <c r="AG74" s="84">
        <f>SUM(U74:AF74)</f>
        <v>-1760497.9999999998</v>
      </c>
    </row>
    <row r="75" spans="1:33" s="110" customFormat="1">
      <c r="A75" s="85">
        <v>9790</v>
      </c>
      <c r="B75" s="86" t="s">
        <v>129</v>
      </c>
      <c r="C75" s="56" t="e">
        <f t="shared" ref="C75:E75" si="61">C74/C10</f>
        <v>#DIV/0!</v>
      </c>
      <c r="D75" s="56" t="e">
        <f t="shared" si="61"/>
        <v>#DIV/0!</v>
      </c>
      <c r="E75" s="56" t="e">
        <f t="shared" si="61"/>
        <v>#DIV/0!</v>
      </c>
      <c r="G75" s="56" t="e">
        <f t="shared" ref="G75:S75" si="62">G74/G10</f>
        <v>#DIV/0!</v>
      </c>
      <c r="H75" s="56" t="e">
        <f t="shared" si="62"/>
        <v>#DIV/0!</v>
      </c>
      <c r="I75" s="56" t="e">
        <f t="shared" si="62"/>
        <v>#DIV/0!</v>
      </c>
      <c r="J75" s="56" t="e">
        <f t="shared" si="62"/>
        <v>#DIV/0!</v>
      </c>
      <c r="K75" s="56" t="e">
        <f t="shared" si="62"/>
        <v>#DIV/0!</v>
      </c>
      <c r="L75" s="56" t="e">
        <f t="shared" si="62"/>
        <v>#DIV/0!</v>
      </c>
      <c r="M75" s="56" t="e">
        <f t="shared" si="62"/>
        <v>#DIV/0!</v>
      </c>
      <c r="N75" s="56" t="e">
        <f t="shared" si="62"/>
        <v>#DIV/0!</v>
      </c>
      <c r="O75" s="56" t="e">
        <f t="shared" si="62"/>
        <v>#DIV/0!</v>
      </c>
      <c r="P75" s="56" t="e">
        <f t="shared" si="62"/>
        <v>#DIV/0!</v>
      </c>
      <c r="Q75" s="56" t="e">
        <f t="shared" si="62"/>
        <v>#DIV/0!</v>
      </c>
      <c r="R75" s="56" t="e">
        <f t="shared" si="62"/>
        <v>#DIV/0!</v>
      </c>
      <c r="S75" s="56" t="e">
        <f t="shared" si="62"/>
        <v>#DIV/0!</v>
      </c>
      <c r="T75" s="109"/>
      <c r="U75" s="56" t="e">
        <f t="shared" ref="U75:AG75" si="63">U74/U10</f>
        <v>#DIV/0!</v>
      </c>
      <c r="V75" s="56" t="e">
        <f t="shared" si="63"/>
        <v>#DIV/0!</v>
      </c>
      <c r="W75" s="56" t="e">
        <f t="shared" si="63"/>
        <v>#DIV/0!</v>
      </c>
      <c r="X75" s="56" t="e">
        <f t="shared" si="63"/>
        <v>#DIV/0!</v>
      </c>
      <c r="Y75" s="56" t="e">
        <f t="shared" si="63"/>
        <v>#DIV/0!</v>
      </c>
      <c r="Z75" s="56" t="e">
        <f t="shared" si="63"/>
        <v>#DIV/0!</v>
      </c>
      <c r="AA75" s="56" t="e">
        <f t="shared" si="63"/>
        <v>#DIV/0!</v>
      </c>
      <c r="AB75" s="56" t="e">
        <f t="shared" si="63"/>
        <v>#DIV/0!</v>
      </c>
      <c r="AC75" s="56" t="e">
        <f t="shared" si="63"/>
        <v>#DIV/0!</v>
      </c>
      <c r="AD75" s="56" t="e">
        <f t="shared" si="63"/>
        <v>#DIV/0!</v>
      </c>
      <c r="AE75" s="56" t="e">
        <f t="shared" si="63"/>
        <v>#DIV/0!</v>
      </c>
      <c r="AF75" s="56" t="e">
        <f t="shared" si="63"/>
        <v>#DIV/0!</v>
      </c>
      <c r="AG75" s="56" t="e">
        <f t="shared" si="63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U49" activePane="bottomRight" state="frozen"/>
      <selection activeCell="W50" sqref="W50"/>
      <selection pane="topRight" activeCell="W50" sqref="W50"/>
      <selection pane="bottomLeft" activeCell="W50" sqref="W50"/>
      <selection pane="bottomRight" activeCell="B52" sqref="B52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2.42578125" style="45" bestFit="1" customWidth="1" outlineLevel="1"/>
    <col min="33" max="33" width="14.710937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4100</v>
      </c>
      <c r="B2" s="232" t="s">
        <v>54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collapsed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30">SUM(U34:AF34)</f>
        <v>0</v>
      </c>
    </row>
    <row r="35" spans="1:43" s="96" customFormat="1" hidden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 hidden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 hidden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 hidden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f t="shared" si="30"/>
        <v>0</v>
      </c>
    </row>
    <row r="39" spans="1:43" s="96" customFormat="1" hidden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0</v>
      </c>
      <c r="V39" s="41">
        <f t="shared" si="33"/>
        <v>0</v>
      </c>
      <c r="W39" s="41">
        <f t="shared" si="33"/>
        <v>0</v>
      </c>
      <c r="X39" s="41">
        <f t="shared" si="33"/>
        <v>0</v>
      </c>
      <c r="Y39" s="41">
        <f t="shared" si="33"/>
        <v>0</v>
      </c>
      <c r="Z39" s="41">
        <f t="shared" si="33"/>
        <v>0</v>
      </c>
      <c r="AA39" s="41">
        <f t="shared" si="33"/>
        <v>0</v>
      </c>
      <c r="AB39" s="41">
        <f t="shared" si="33"/>
        <v>0</v>
      </c>
      <c r="AC39" s="41">
        <f t="shared" si="33"/>
        <v>0</v>
      </c>
      <c r="AD39" s="41">
        <f t="shared" si="33"/>
        <v>0</v>
      </c>
      <c r="AE39" s="41">
        <f t="shared" si="33"/>
        <v>0</v>
      </c>
      <c r="AF39" s="41">
        <f t="shared" si="33"/>
        <v>0</v>
      </c>
      <c r="AG39" s="41">
        <f t="shared" si="30"/>
        <v>0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0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22916.666666666668</v>
      </c>
      <c r="V51" s="234">
        <f>VLOOKUP($A$2,Marketing!$C$15:$AE$29,Marketing!T$16,FALSE)</f>
        <v>42916.666666666672</v>
      </c>
      <c r="W51" s="234">
        <f>VLOOKUP($A$2,Marketing!$C$15:$AE$29,Marketing!U$16,FALSE)</f>
        <v>82916.666666666657</v>
      </c>
      <c r="X51" s="234">
        <f>VLOOKUP($A$2,Marketing!$C$15:$AE$29,Marketing!V$16,FALSE)</f>
        <v>22916.666666666668</v>
      </c>
      <c r="Y51" s="234">
        <f>VLOOKUP($A$2,Marketing!$C$15:$AE$29,Marketing!W$16,FALSE)</f>
        <v>332916.66666666663</v>
      </c>
      <c r="Z51" s="234">
        <f>VLOOKUP($A$2,Marketing!$C$15:$AE$29,Marketing!X$16,FALSE)</f>
        <v>22916.666666666668</v>
      </c>
      <c r="AA51" s="234">
        <f>VLOOKUP($A$2,Marketing!$C$15:$AE$29,Marketing!Y$16,FALSE)</f>
        <v>22916.666666666668</v>
      </c>
      <c r="AB51" s="234">
        <f>VLOOKUP($A$2,Marketing!$C$15:$AE$29,Marketing!Z$16,FALSE)</f>
        <v>22916.666666666668</v>
      </c>
      <c r="AC51" s="234">
        <f>VLOOKUP($A$2,Marketing!$C$15:$AE$29,Marketing!AA$16,FALSE)</f>
        <v>22916.666666666668</v>
      </c>
      <c r="AD51" s="234">
        <f>VLOOKUP($A$2,Marketing!$C$15:$AE$29,Marketing!AB$16,FALSE)</f>
        <v>22916.666666666668</v>
      </c>
      <c r="AE51" s="234">
        <f>VLOOKUP($A$2,Marketing!$C$15:$AE$29,Marketing!AC$16,FALSE)</f>
        <v>22916.666666666668</v>
      </c>
      <c r="AF51" s="234">
        <f>VLOOKUP($A$2,Marketing!$C$15:$AE$29,Marketing!AD$16,FALSE)</f>
        <v>82916.666666666672</v>
      </c>
      <c r="AG51" s="51">
        <f t="shared" si="30"/>
        <v>724999.99999999965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72498</v>
      </c>
      <c r="V53" s="234">
        <f>VLOOKUP($A$2,osobni!$F$31:$EQ$44,osobni!EF$3,FALSE)</f>
        <v>72388</v>
      </c>
      <c r="W53" s="234">
        <f>VLOOKUP($A$2,osobni!$F$31:$EQ$44,osobni!EG$3,FALSE)</f>
        <v>72443</v>
      </c>
      <c r="X53" s="234">
        <f>VLOOKUP($A$2,osobni!$F$31:$EQ$44,osobni!EH$3,FALSE)</f>
        <v>72388</v>
      </c>
      <c r="Y53" s="234">
        <f>VLOOKUP($A$2,osobni!$F$31:$EQ$44,osobni!EI$3,FALSE)</f>
        <v>72443</v>
      </c>
      <c r="Z53" s="234">
        <f>VLOOKUP($A$2,osobni!$F$31:$EQ$44,osobni!EJ$3,FALSE)</f>
        <v>72443</v>
      </c>
      <c r="AA53" s="234">
        <f>VLOOKUP($A$2,osobni!$F$31:$EQ$44,osobni!EK$3,FALSE)</f>
        <v>72388</v>
      </c>
      <c r="AB53" s="234">
        <f>VLOOKUP($A$2,osobni!$F$31:$EQ$44,osobni!EL$3,FALSE)</f>
        <v>72553</v>
      </c>
      <c r="AC53" s="234">
        <f>VLOOKUP($A$2,osobni!$F$31:$EQ$44,osobni!EM$3,FALSE)</f>
        <v>72333</v>
      </c>
      <c r="AD53" s="234">
        <f>VLOOKUP($A$2,osobni!$F$31:$EQ$44,osobni!EN$3,FALSE)</f>
        <v>72553</v>
      </c>
      <c r="AE53" s="234">
        <f>VLOOKUP($A$2,osobni!$F$31:$EQ$44,osobni!EO$3,FALSE)</f>
        <v>72498</v>
      </c>
      <c r="AF53" s="234">
        <f>VLOOKUP($A$2,osobni!$F$31:$EQ$44,osobni!EP$3,FALSE)</f>
        <v>72278</v>
      </c>
      <c r="AG53" s="51">
        <f t="shared" si="30"/>
        <v>869206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17500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17500</v>
      </c>
      <c r="AF54" s="234">
        <f>VLOOKUP($A$2,osobni!$F$31:$EQ$44,osobni!CZ$3,FALSE)</f>
        <v>0</v>
      </c>
      <c r="AG54" s="51">
        <f t="shared" si="30"/>
        <v>35000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3</v>
      </c>
      <c r="V55" s="51">
        <v>3</v>
      </c>
      <c r="W55" s="51">
        <v>3</v>
      </c>
      <c r="X55" s="51">
        <v>3</v>
      </c>
      <c r="Y55" s="51">
        <v>3</v>
      </c>
      <c r="Z55" s="51">
        <v>3</v>
      </c>
      <c r="AA55" s="51">
        <v>3</v>
      </c>
      <c r="AB55" s="51">
        <v>3</v>
      </c>
      <c r="AC55" s="51">
        <v>3</v>
      </c>
      <c r="AD55" s="51">
        <v>3</v>
      </c>
      <c r="AE55" s="51">
        <v>3</v>
      </c>
      <c r="AF55" s="51">
        <v>3</v>
      </c>
      <c r="AG55" s="51">
        <f t="shared" si="30"/>
        <v>36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6781.3801652892562</v>
      </c>
      <c r="V56" s="234">
        <f>VLOOKUP($A$2,auta!$F$12:$EM$34,auta!EB$11,FALSE)</f>
        <v>5281.3801652892562</v>
      </c>
      <c r="W56" s="234">
        <f>VLOOKUP($A$2,auta!$F$12:$EM$34,auta!EC$11,FALSE)</f>
        <v>5281.3801652892562</v>
      </c>
      <c r="X56" s="234">
        <f>VLOOKUP($A$2,auta!$F$12:$EM$34,auta!ED$11,FALSE)</f>
        <v>5281.3801652892562</v>
      </c>
      <c r="Y56" s="234">
        <f>VLOOKUP($A$2,auta!$F$12:$EM$34,auta!EE$11,FALSE)</f>
        <v>5281.3801652892562</v>
      </c>
      <c r="Z56" s="234">
        <f>VLOOKUP($A$2,auta!$F$12:$EM$34,auta!EF$11,FALSE)</f>
        <v>5281.3801652892562</v>
      </c>
      <c r="AA56" s="234">
        <f>VLOOKUP($A$2,auta!$F$12:$EM$34,auta!EG$11,FALSE)</f>
        <v>5281.3801652892562</v>
      </c>
      <c r="AB56" s="234">
        <f>VLOOKUP($A$2,auta!$F$12:$EM$34,auta!EH$11,FALSE)</f>
        <v>5281.3801652892562</v>
      </c>
      <c r="AC56" s="234">
        <f>VLOOKUP($A$2,auta!$F$12:$EM$34,auta!EI$11,FALSE)</f>
        <v>5281.3801652892562</v>
      </c>
      <c r="AD56" s="234">
        <f>VLOOKUP($A$2,auta!$F$12:$EM$34,auta!EJ$11,FALSE)</f>
        <v>5281.3801652892562</v>
      </c>
      <c r="AE56" s="234">
        <f>VLOOKUP($A$2,auta!$F$12:$EM$34,auta!EK$11,FALSE)</f>
        <v>5281.3801652892562</v>
      </c>
      <c r="AF56" s="234">
        <f>VLOOKUP($A$2,auta!$F$12:$EM$34,auta!EL$11,FALSE)</f>
        <v>5281.3801652892562</v>
      </c>
      <c r="AG56" s="51">
        <f t="shared" si="30"/>
        <v>64876.561983471089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0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25000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7">SUM(U58:AF58)</f>
        <v>25000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234">
        <f>VLOOKUP($A$2,investice!$C$51:$AG$65,investice!U$51,FALSE)</f>
        <v>0</v>
      </c>
      <c r="V59" s="234">
        <f>VLOOKUP($A$2,investice!$C$51:$AG$65,investice!V$51,FALSE)</f>
        <v>0</v>
      </c>
      <c r="W59" s="234">
        <f>VLOOKUP($A$2,investice!$C$51:$AG$65,investice!W$51,FALSE)</f>
        <v>0</v>
      </c>
      <c r="X59" s="234">
        <f>VLOOKUP($A$2,investice!$C$51:$AG$65,investice!X$51,FALSE)</f>
        <v>0</v>
      </c>
      <c r="Y59" s="234">
        <f>VLOOKUP($A$2,investice!$C$51:$AG$65,investice!Y$51,FALSE)</f>
        <v>0</v>
      </c>
      <c r="Z59" s="234">
        <f>VLOOKUP($A$2,investice!$C$51:$AG$65,investice!Z$51,FALSE)</f>
        <v>0</v>
      </c>
      <c r="AA59" s="234">
        <f>VLOOKUP($A$2,investice!$C$51:$AG$65,investice!AA$51,FALSE)</f>
        <v>0</v>
      </c>
      <c r="AB59" s="234">
        <f>VLOOKUP($A$2,investice!$C$51:$AG$65,investice!AB$51,FALSE)</f>
        <v>0</v>
      </c>
      <c r="AC59" s="234">
        <f>VLOOKUP($A$2,investice!$C$51:$AG$65,investice!AC$51,FALSE)</f>
        <v>0</v>
      </c>
      <c r="AD59" s="234">
        <f>VLOOKUP($A$2,investice!$C$51:$AG$65,investice!AD$51,FALSE)</f>
        <v>0</v>
      </c>
      <c r="AE59" s="234">
        <f>VLOOKUP($A$2,investice!$C$51:$AG$65,investice!AE$51,FALSE)</f>
        <v>0</v>
      </c>
      <c r="AF59" s="234">
        <f>VLOOKUP($A$2,investice!$C$51:$AG$65,investice!AF$51,FALSE)</f>
        <v>0</v>
      </c>
      <c r="AG59" s="51">
        <f t="shared" si="30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VLOOKUP($A$2,osobni!$F$31:$EQ$44,osobni!DC$3,FALSE)+50000</f>
        <v>50333.333333333336</v>
      </c>
      <c r="V60" s="235">
        <f>VLOOKUP($A$2,osobni!$F$31:$EQ$44,osobni!DD$3,FALSE)</f>
        <v>333.33333333333331</v>
      </c>
      <c r="W60" s="235">
        <f>VLOOKUP($A$2,osobni!$F$31:$EQ$44,osobni!DE$3,FALSE)</f>
        <v>333.33333333333331</v>
      </c>
      <c r="X60" s="235">
        <f>VLOOKUP($A$2,osobni!$F$31:$EQ$44,osobni!DF$3,FALSE)</f>
        <v>333.33333333333331</v>
      </c>
      <c r="Y60" s="235">
        <f>VLOOKUP($A$2,osobni!$F$31:$EQ$44,osobni!DG$3,FALSE)</f>
        <v>333.33333333333331</v>
      </c>
      <c r="Z60" s="235">
        <f>VLOOKUP($A$2,osobni!$F$31:$EQ$44,osobni!DH$3,FALSE)</f>
        <v>333.33333333333331</v>
      </c>
      <c r="AA60" s="235">
        <f>VLOOKUP($A$2,osobni!$F$31:$EQ$44,osobni!DI$3,FALSE)</f>
        <v>333.33333333333331</v>
      </c>
      <c r="AB60" s="235">
        <f>VLOOKUP($A$2,osobni!$F$31:$EQ$44,osobni!DJ$3,FALSE)</f>
        <v>333.33333333333331</v>
      </c>
      <c r="AC60" s="235">
        <f>VLOOKUP($A$2,osobni!$F$31:$EQ$44,osobni!DK$3,FALSE)</f>
        <v>333.33333333333331</v>
      </c>
      <c r="AD60" s="235">
        <f>VLOOKUP($A$2,osobni!$F$31:$EQ$44,osobni!DL$3,FALSE)</f>
        <v>333.33333333333331</v>
      </c>
      <c r="AE60" s="235">
        <f>VLOOKUP($A$2,osobni!$F$31:$EQ$44,osobni!DM$3,FALSE)</f>
        <v>333.33333333333331</v>
      </c>
      <c r="AF60" s="235">
        <f>VLOOKUP($A$2,osobni!$F$31:$EQ$44,osobni!DN$3,FALSE)</f>
        <v>333.33333333333331</v>
      </c>
      <c r="AG60" s="44">
        <f t="shared" si="30"/>
        <v>54000.000000000029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177532.38016528927</v>
      </c>
      <c r="V61" s="41">
        <f t="shared" si="40"/>
        <v>120922.38016528926</v>
      </c>
      <c r="W61" s="41">
        <f t="shared" si="40"/>
        <v>160977.38016528924</v>
      </c>
      <c r="X61" s="41">
        <f t="shared" si="40"/>
        <v>100922.38016528926</v>
      </c>
      <c r="Y61" s="41">
        <f t="shared" si="40"/>
        <v>428477.38016528921</v>
      </c>
      <c r="Z61" s="41">
        <f t="shared" si="40"/>
        <v>100977.38016528926</v>
      </c>
      <c r="AA61" s="41">
        <f t="shared" si="40"/>
        <v>100922.38016528926</v>
      </c>
      <c r="AB61" s="41">
        <f t="shared" si="40"/>
        <v>101087.38016528926</v>
      </c>
      <c r="AC61" s="41">
        <f t="shared" si="40"/>
        <v>100867.38016528926</v>
      </c>
      <c r="AD61" s="41">
        <f t="shared" si="40"/>
        <v>101087.38016528926</v>
      </c>
      <c r="AE61" s="41">
        <f t="shared" si="40"/>
        <v>118532.38016528926</v>
      </c>
      <c r="AF61" s="41">
        <f t="shared" si="40"/>
        <v>160812.38016528927</v>
      </c>
      <c r="AG61" s="41">
        <f t="shared" si="30"/>
        <v>1773118.5619834703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-177532.38016528927</v>
      </c>
      <c r="V64" s="63">
        <f t="shared" si="43"/>
        <v>-120922.38016528926</v>
      </c>
      <c r="W64" s="63">
        <f t="shared" si="43"/>
        <v>-160977.38016528924</v>
      </c>
      <c r="X64" s="63">
        <f t="shared" si="43"/>
        <v>-100922.38016528926</v>
      </c>
      <c r="Y64" s="63">
        <f t="shared" si="43"/>
        <v>-428477.38016528921</v>
      </c>
      <c r="Z64" s="63">
        <f t="shared" si="43"/>
        <v>-100977.38016528926</v>
      </c>
      <c r="AA64" s="63">
        <f t="shared" si="43"/>
        <v>-100922.38016528926</v>
      </c>
      <c r="AB64" s="63">
        <f t="shared" si="43"/>
        <v>-101087.38016528926</v>
      </c>
      <c r="AC64" s="63">
        <f t="shared" si="43"/>
        <v>-100867.38016528926</v>
      </c>
      <c r="AD64" s="63">
        <f t="shared" si="43"/>
        <v>-101087.38016528926</v>
      </c>
      <c r="AE64" s="63">
        <f t="shared" si="43"/>
        <v>-118532.38016528926</v>
      </c>
      <c r="AF64" s="63">
        <f t="shared" si="43"/>
        <v>-160812.38016528927</v>
      </c>
      <c r="AG64" s="63">
        <f t="shared" si="30"/>
        <v>-1773118.5619834703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7">C64-C66+C67</f>
        <v>0</v>
      </c>
      <c r="D68" s="72">
        <f t="shared" si="47"/>
        <v>0</v>
      </c>
      <c r="E68" s="72">
        <f t="shared" si="47"/>
        <v>0</v>
      </c>
      <c r="G68" s="72">
        <f t="shared" ref="G68:R68" si="48">G64-G66+G67</f>
        <v>0</v>
      </c>
      <c r="H68" s="72">
        <f t="shared" si="48"/>
        <v>0</v>
      </c>
      <c r="I68" s="72">
        <f t="shared" si="48"/>
        <v>0</v>
      </c>
      <c r="J68" s="72">
        <f t="shared" si="48"/>
        <v>0</v>
      </c>
      <c r="K68" s="72">
        <f t="shared" si="48"/>
        <v>0</v>
      </c>
      <c r="L68" s="72">
        <f t="shared" si="48"/>
        <v>0</v>
      </c>
      <c r="M68" s="72">
        <f t="shared" si="48"/>
        <v>0</v>
      </c>
      <c r="N68" s="72">
        <f t="shared" si="48"/>
        <v>0</v>
      </c>
      <c r="O68" s="72">
        <f t="shared" si="48"/>
        <v>0</v>
      </c>
      <c r="P68" s="72">
        <f t="shared" si="48"/>
        <v>0</v>
      </c>
      <c r="Q68" s="72">
        <f t="shared" si="48"/>
        <v>0</v>
      </c>
      <c r="R68" s="72">
        <f t="shared" si="48"/>
        <v>0</v>
      </c>
      <c r="S68" s="72">
        <f>SUM(G68:R68)</f>
        <v>0</v>
      </c>
      <c r="T68" s="96"/>
      <c r="U68" s="72">
        <f t="shared" ref="U68:AF68" si="49">U64-U66+U67</f>
        <v>-177532.38016528927</v>
      </c>
      <c r="V68" s="72">
        <f t="shared" si="49"/>
        <v>-120922.38016528926</v>
      </c>
      <c r="W68" s="72">
        <f t="shared" si="49"/>
        <v>-160977.38016528924</v>
      </c>
      <c r="X68" s="72">
        <f t="shared" si="49"/>
        <v>-100922.38016528926</v>
      </c>
      <c r="Y68" s="72">
        <f t="shared" si="49"/>
        <v>-428477.38016528921</v>
      </c>
      <c r="Z68" s="72">
        <f t="shared" si="49"/>
        <v>-100977.38016528926</v>
      </c>
      <c r="AA68" s="72">
        <f t="shared" si="49"/>
        <v>-100922.38016528926</v>
      </c>
      <c r="AB68" s="72">
        <f t="shared" si="49"/>
        <v>-101087.38016528926</v>
      </c>
      <c r="AC68" s="72">
        <f t="shared" si="49"/>
        <v>-100867.38016528926</v>
      </c>
      <c r="AD68" s="72">
        <f t="shared" si="49"/>
        <v>-101087.38016528926</v>
      </c>
      <c r="AE68" s="72">
        <f t="shared" si="49"/>
        <v>-118532.38016528926</v>
      </c>
      <c r="AF68" s="72">
        <f t="shared" si="49"/>
        <v>-160812.38016528927</v>
      </c>
      <c r="AG68" s="72">
        <f>SUM(U68:AF68)</f>
        <v>-1773118.5619834703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0">C68-C69</f>
        <v>0</v>
      </c>
      <c r="D70" s="78">
        <f t="shared" si="50"/>
        <v>0</v>
      </c>
      <c r="E70" s="78">
        <f t="shared" si="50"/>
        <v>0</v>
      </c>
      <c r="G70" s="78">
        <f t="shared" ref="G70:R70" si="51">G68-G69</f>
        <v>0</v>
      </c>
      <c r="H70" s="78">
        <f t="shared" si="51"/>
        <v>0</v>
      </c>
      <c r="I70" s="78">
        <f t="shared" si="51"/>
        <v>0</v>
      </c>
      <c r="J70" s="78">
        <f t="shared" si="51"/>
        <v>0</v>
      </c>
      <c r="K70" s="78">
        <f t="shared" si="51"/>
        <v>0</v>
      </c>
      <c r="L70" s="78">
        <f t="shared" si="51"/>
        <v>0</v>
      </c>
      <c r="M70" s="78">
        <f t="shared" si="51"/>
        <v>0</v>
      </c>
      <c r="N70" s="78">
        <f t="shared" si="51"/>
        <v>0</v>
      </c>
      <c r="O70" s="78">
        <f t="shared" si="51"/>
        <v>0</v>
      </c>
      <c r="P70" s="78">
        <f t="shared" si="51"/>
        <v>0</v>
      </c>
      <c r="Q70" s="78">
        <f t="shared" si="51"/>
        <v>0</v>
      </c>
      <c r="R70" s="78">
        <f t="shared" si="51"/>
        <v>0</v>
      </c>
      <c r="S70" s="78">
        <f>SUM(G70:R70)</f>
        <v>0</v>
      </c>
      <c r="T70" s="96"/>
      <c r="U70" s="78">
        <f t="shared" ref="U70:AF70" si="52">U68-U69</f>
        <v>-177532.38016528927</v>
      </c>
      <c r="V70" s="78">
        <f t="shared" si="52"/>
        <v>-120922.38016528926</v>
      </c>
      <c r="W70" s="78">
        <f t="shared" si="52"/>
        <v>-160977.38016528924</v>
      </c>
      <c r="X70" s="78">
        <f t="shared" si="52"/>
        <v>-100922.38016528926</v>
      </c>
      <c r="Y70" s="78">
        <f t="shared" si="52"/>
        <v>-428477.38016528921</v>
      </c>
      <c r="Z70" s="78">
        <f t="shared" si="52"/>
        <v>-100977.38016528926</v>
      </c>
      <c r="AA70" s="78">
        <f t="shared" si="52"/>
        <v>-100922.38016528926</v>
      </c>
      <c r="AB70" s="78">
        <f t="shared" si="52"/>
        <v>-101087.38016528926</v>
      </c>
      <c r="AC70" s="78">
        <f t="shared" si="52"/>
        <v>-100867.38016528926</v>
      </c>
      <c r="AD70" s="78">
        <f t="shared" si="52"/>
        <v>-101087.38016528926</v>
      </c>
      <c r="AE70" s="78">
        <f t="shared" si="52"/>
        <v>-118532.38016528926</v>
      </c>
      <c r="AF70" s="78">
        <f t="shared" si="52"/>
        <v>-160812.38016528927</v>
      </c>
      <c r="AG70" s="78">
        <f>SUM(U70:AF70)</f>
        <v>-1773118.5619834703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3">C70/C10</f>
        <v>#DIV/0!</v>
      </c>
      <c r="D71" s="80" t="e">
        <f t="shared" si="53"/>
        <v>#DIV/0!</v>
      </c>
      <c r="E71" s="80" t="e">
        <f t="shared" si="53"/>
        <v>#DIV/0!</v>
      </c>
      <c r="G71" s="80" t="e">
        <f t="shared" ref="G71:S71" si="54">G70/G10</f>
        <v>#DIV/0!</v>
      </c>
      <c r="H71" s="80" t="e">
        <f t="shared" si="54"/>
        <v>#DIV/0!</v>
      </c>
      <c r="I71" s="80" t="e">
        <f t="shared" si="54"/>
        <v>#DIV/0!</v>
      </c>
      <c r="J71" s="80" t="e">
        <f t="shared" si="54"/>
        <v>#DIV/0!</v>
      </c>
      <c r="K71" s="80" t="e">
        <f t="shared" si="54"/>
        <v>#DIV/0!</v>
      </c>
      <c r="L71" s="80" t="e">
        <f t="shared" si="54"/>
        <v>#DIV/0!</v>
      </c>
      <c r="M71" s="80" t="e">
        <f t="shared" si="54"/>
        <v>#DIV/0!</v>
      </c>
      <c r="N71" s="80" t="e">
        <f t="shared" si="54"/>
        <v>#DIV/0!</v>
      </c>
      <c r="O71" s="80" t="e">
        <f t="shared" si="54"/>
        <v>#DIV/0!</v>
      </c>
      <c r="P71" s="80" t="e">
        <f t="shared" si="54"/>
        <v>#DIV/0!</v>
      </c>
      <c r="Q71" s="80" t="e">
        <f t="shared" si="54"/>
        <v>#DIV/0!</v>
      </c>
      <c r="R71" s="80" t="e">
        <f t="shared" si="54"/>
        <v>#DIV/0!</v>
      </c>
      <c r="S71" s="80" t="e">
        <f t="shared" si="54"/>
        <v>#DIV/0!</v>
      </c>
      <c r="U71" s="80" t="e">
        <f t="shared" ref="U71:AG71" si="55">U70/U10</f>
        <v>#DIV/0!</v>
      </c>
      <c r="V71" s="80" t="e">
        <f t="shared" si="55"/>
        <v>#DIV/0!</v>
      </c>
      <c r="W71" s="80" t="e">
        <f t="shared" si="55"/>
        <v>#DIV/0!</v>
      </c>
      <c r="X71" s="80" t="e">
        <f t="shared" si="55"/>
        <v>#DIV/0!</v>
      </c>
      <c r="Y71" s="80" t="e">
        <f t="shared" si="55"/>
        <v>#DIV/0!</v>
      </c>
      <c r="Z71" s="80" t="e">
        <f t="shared" si="55"/>
        <v>#DIV/0!</v>
      </c>
      <c r="AA71" s="80" t="e">
        <f t="shared" si="55"/>
        <v>#DIV/0!</v>
      </c>
      <c r="AB71" s="80" t="e">
        <f t="shared" si="55"/>
        <v>#DIV/0!</v>
      </c>
      <c r="AC71" s="80" t="e">
        <f t="shared" si="55"/>
        <v>#DIV/0!</v>
      </c>
      <c r="AD71" s="80" t="e">
        <f t="shared" si="55"/>
        <v>#DIV/0!</v>
      </c>
      <c r="AE71" s="80" t="e">
        <f t="shared" si="55"/>
        <v>#DIV/0!</v>
      </c>
      <c r="AF71" s="80" t="e">
        <f t="shared" si="55"/>
        <v>#DIV/0!</v>
      </c>
      <c r="AG71" s="80" t="e">
        <f t="shared" si="55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6">C64+C73</f>
        <v>0</v>
      </c>
      <c r="D74" s="84">
        <f t="shared" si="56"/>
        <v>0</v>
      </c>
      <c r="E74" s="84">
        <f t="shared" si="56"/>
        <v>0</v>
      </c>
      <c r="G74" s="84">
        <f t="shared" ref="G74:R74" si="57">G64+G73</f>
        <v>0</v>
      </c>
      <c r="H74" s="84">
        <f t="shared" si="57"/>
        <v>0</v>
      </c>
      <c r="I74" s="84">
        <f t="shared" si="57"/>
        <v>0</v>
      </c>
      <c r="J74" s="84">
        <f t="shared" si="57"/>
        <v>0</v>
      </c>
      <c r="K74" s="84">
        <f t="shared" si="57"/>
        <v>0</v>
      </c>
      <c r="L74" s="84">
        <f t="shared" si="57"/>
        <v>0</v>
      </c>
      <c r="M74" s="84">
        <f t="shared" si="57"/>
        <v>0</v>
      </c>
      <c r="N74" s="84">
        <f t="shared" si="57"/>
        <v>0</v>
      </c>
      <c r="O74" s="84">
        <f t="shared" si="57"/>
        <v>0</v>
      </c>
      <c r="P74" s="84">
        <f t="shared" si="57"/>
        <v>0</v>
      </c>
      <c r="Q74" s="84">
        <f t="shared" si="57"/>
        <v>0</v>
      </c>
      <c r="R74" s="84">
        <f t="shared" si="57"/>
        <v>0</v>
      </c>
      <c r="S74" s="84">
        <f>SUM(G74:R74)</f>
        <v>0</v>
      </c>
      <c r="U74" s="84">
        <f t="shared" ref="U74:AF74" si="58">U64+U73</f>
        <v>-177532.38016528927</v>
      </c>
      <c r="V74" s="84">
        <f t="shared" si="58"/>
        <v>-120922.38016528926</v>
      </c>
      <c r="W74" s="84">
        <f t="shared" si="58"/>
        <v>-160977.38016528924</v>
      </c>
      <c r="X74" s="84">
        <f t="shared" si="58"/>
        <v>-100922.38016528926</v>
      </c>
      <c r="Y74" s="84">
        <f t="shared" si="58"/>
        <v>-428477.38016528921</v>
      </c>
      <c r="Z74" s="84">
        <f t="shared" si="58"/>
        <v>-100977.38016528926</v>
      </c>
      <c r="AA74" s="84">
        <f t="shared" si="58"/>
        <v>-100922.38016528926</v>
      </c>
      <c r="AB74" s="84">
        <f t="shared" si="58"/>
        <v>-101087.38016528926</v>
      </c>
      <c r="AC74" s="84">
        <f t="shared" si="58"/>
        <v>-100867.38016528926</v>
      </c>
      <c r="AD74" s="84">
        <f t="shared" si="58"/>
        <v>-101087.38016528926</v>
      </c>
      <c r="AE74" s="84">
        <f t="shared" si="58"/>
        <v>-118532.38016528926</v>
      </c>
      <c r="AF74" s="84">
        <f t="shared" si="58"/>
        <v>-160812.38016528927</v>
      </c>
      <c r="AG74" s="84">
        <f>SUM(U74:AF74)</f>
        <v>-1773118.5619834703</v>
      </c>
    </row>
    <row r="75" spans="1:33" s="110" customFormat="1">
      <c r="A75" s="85">
        <v>9790</v>
      </c>
      <c r="B75" s="86" t="s">
        <v>129</v>
      </c>
      <c r="C75" s="56" t="e">
        <f t="shared" ref="C75:E75" si="59">C74/C10</f>
        <v>#DIV/0!</v>
      </c>
      <c r="D75" s="56" t="e">
        <f t="shared" si="59"/>
        <v>#DIV/0!</v>
      </c>
      <c r="E75" s="56" t="e">
        <f t="shared" si="59"/>
        <v>#DIV/0!</v>
      </c>
      <c r="G75" s="56" t="e">
        <f t="shared" ref="G75:S75" si="60">G74/G10</f>
        <v>#DIV/0!</v>
      </c>
      <c r="H75" s="56" t="e">
        <f t="shared" si="60"/>
        <v>#DIV/0!</v>
      </c>
      <c r="I75" s="56" t="e">
        <f t="shared" si="60"/>
        <v>#DIV/0!</v>
      </c>
      <c r="J75" s="56" t="e">
        <f t="shared" si="60"/>
        <v>#DIV/0!</v>
      </c>
      <c r="K75" s="56" t="e">
        <f t="shared" si="60"/>
        <v>#DIV/0!</v>
      </c>
      <c r="L75" s="56" t="e">
        <f t="shared" si="60"/>
        <v>#DIV/0!</v>
      </c>
      <c r="M75" s="56" t="e">
        <f t="shared" si="60"/>
        <v>#DIV/0!</v>
      </c>
      <c r="N75" s="56" t="e">
        <f t="shared" si="60"/>
        <v>#DIV/0!</v>
      </c>
      <c r="O75" s="56" t="e">
        <f t="shared" si="60"/>
        <v>#DIV/0!</v>
      </c>
      <c r="P75" s="56" t="e">
        <f t="shared" si="60"/>
        <v>#DIV/0!</v>
      </c>
      <c r="Q75" s="56" t="e">
        <f t="shared" si="60"/>
        <v>#DIV/0!</v>
      </c>
      <c r="R75" s="56" t="e">
        <f t="shared" si="60"/>
        <v>#DIV/0!</v>
      </c>
      <c r="S75" s="56" t="e">
        <f t="shared" si="60"/>
        <v>#DIV/0!</v>
      </c>
      <c r="T75" s="109"/>
      <c r="U75" s="56" t="e">
        <f t="shared" ref="U75:AG75" si="61">U74/U10</f>
        <v>#DIV/0!</v>
      </c>
      <c r="V75" s="56" t="e">
        <f t="shared" si="61"/>
        <v>#DIV/0!</v>
      </c>
      <c r="W75" s="56" t="e">
        <f t="shared" si="61"/>
        <v>#DIV/0!</v>
      </c>
      <c r="X75" s="56" t="e">
        <f t="shared" si="61"/>
        <v>#DIV/0!</v>
      </c>
      <c r="Y75" s="56" t="e">
        <f t="shared" si="61"/>
        <v>#DIV/0!</v>
      </c>
      <c r="Z75" s="56" t="e">
        <f t="shared" si="61"/>
        <v>#DIV/0!</v>
      </c>
      <c r="AA75" s="56" t="e">
        <f t="shared" si="61"/>
        <v>#DIV/0!</v>
      </c>
      <c r="AB75" s="56" t="e">
        <f t="shared" si="61"/>
        <v>#DIV/0!</v>
      </c>
      <c r="AC75" s="56" t="e">
        <f t="shared" si="61"/>
        <v>#DIV/0!</v>
      </c>
      <c r="AD75" s="56" t="e">
        <f t="shared" si="61"/>
        <v>#DIV/0!</v>
      </c>
      <c r="AE75" s="56" t="e">
        <f t="shared" si="61"/>
        <v>#DIV/0!</v>
      </c>
      <c r="AF75" s="56" t="e">
        <f t="shared" si="61"/>
        <v>#DIV/0!</v>
      </c>
      <c r="AG75" s="56" t="e">
        <f t="shared" si="61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U49" activePane="bottomRight" state="frozen"/>
      <selection activeCell="W50" sqref="W50"/>
      <selection pane="topRight" activeCell="W50" sqref="W50"/>
      <selection pane="bottomLeft" activeCell="W50" sqref="W50"/>
      <selection pane="bottomRight" activeCell="B52" sqref="B52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1.140625" style="45" customWidth="1" outlineLevel="1"/>
    <col min="33" max="33" width="14.710937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5100</v>
      </c>
      <c r="B2" s="232" t="s">
        <v>64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collapsed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30">SUM(U34:AF34)</f>
        <v>0</v>
      </c>
    </row>
    <row r="35" spans="1:43" s="96" customFormat="1" hidden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 hidden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 hidden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 hidden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f t="shared" si="30"/>
        <v>0</v>
      </c>
    </row>
    <row r="39" spans="1:43" s="96" customFormat="1" hidden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0</v>
      </c>
      <c r="V39" s="41">
        <f t="shared" si="33"/>
        <v>0</v>
      </c>
      <c r="W39" s="41">
        <f t="shared" si="33"/>
        <v>0</v>
      </c>
      <c r="X39" s="41">
        <f t="shared" si="33"/>
        <v>0</v>
      </c>
      <c r="Y39" s="41">
        <f t="shared" si="33"/>
        <v>0</v>
      </c>
      <c r="Z39" s="41">
        <f t="shared" si="33"/>
        <v>0</v>
      </c>
      <c r="AA39" s="41">
        <f t="shared" si="33"/>
        <v>0</v>
      </c>
      <c r="AB39" s="41">
        <f t="shared" si="33"/>
        <v>0</v>
      </c>
      <c r="AC39" s="41">
        <f t="shared" si="33"/>
        <v>0</v>
      </c>
      <c r="AD39" s="41">
        <f t="shared" si="33"/>
        <v>0</v>
      </c>
      <c r="AE39" s="41">
        <f t="shared" si="33"/>
        <v>0</v>
      </c>
      <c r="AF39" s="41">
        <f t="shared" si="33"/>
        <v>0</v>
      </c>
      <c r="AG39" s="41">
        <f t="shared" si="30"/>
        <v>0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234">
        <f>Služby!U36*1.39</f>
        <v>777.43828811978324</v>
      </c>
      <c r="V49" s="234">
        <f>Služby!V36*1.39</f>
        <v>848.0529302808776</v>
      </c>
      <c r="W49" s="234">
        <f>Služby!W36*1.39</f>
        <v>9917.3178095205913</v>
      </c>
      <c r="X49" s="234">
        <f>Služby!X36*1.39</f>
        <v>3803.5536045335884</v>
      </c>
      <c r="Y49" s="234">
        <f>Služby!Y36*1.39</f>
        <v>6211.2417378914288</v>
      </c>
      <c r="Z49" s="234">
        <f>Služby!Z36*1.39</f>
        <v>27371.14134607356</v>
      </c>
      <c r="AA49" s="234">
        <f>Služby!AA36*1.39</f>
        <v>4049.908258243865</v>
      </c>
      <c r="AB49" s="234">
        <f>Služby!AB36*1.39</f>
        <v>4533.1136314735431</v>
      </c>
      <c r="AC49" s="234">
        <f>Služby!AC36*1.39</f>
        <v>3483.9717122932016</v>
      </c>
      <c r="AD49" s="234">
        <f>Služby!AD36*1.39</f>
        <v>6648.3829733993052</v>
      </c>
      <c r="AE49" s="234">
        <f>Služby!AE36*1.39</f>
        <v>5068.807652573928</v>
      </c>
      <c r="AF49" s="234">
        <f>Služby!AF36*1.39</f>
        <v>864.55151839516839</v>
      </c>
      <c r="AG49" s="51">
        <f t="shared" si="30"/>
        <v>73577.481462798838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0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87510.000000000015</v>
      </c>
      <c r="V53" s="234">
        <f>VLOOKUP($A$2,osobni!$F$31:$EQ$44,osobni!EF$3,FALSE)</f>
        <v>87290.000000000015</v>
      </c>
      <c r="W53" s="234">
        <f>VLOOKUP($A$2,osobni!$F$31:$EQ$44,osobni!EG$3,FALSE)</f>
        <v>87400.000000000015</v>
      </c>
      <c r="X53" s="234">
        <f>VLOOKUP($A$2,osobni!$F$31:$EQ$44,osobni!EH$3,FALSE)</f>
        <v>87290.000000000015</v>
      </c>
      <c r="Y53" s="234">
        <f>VLOOKUP($A$2,osobni!$F$31:$EQ$44,osobni!EI$3,FALSE)</f>
        <v>87400.000000000015</v>
      </c>
      <c r="Z53" s="234">
        <f>VLOOKUP($A$2,osobni!$F$31:$EQ$44,osobni!EJ$3,FALSE)</f>
        <v>87400.000000000015</v>
      </c>
      <c r="AA53" s="234">
        <f>VLOOKUP($A$2,osobni!$F$31:$EQ$44,osobni!EK$3,FALSE)</f>
        <v>87290.000000000015</v>
      </c>
      <c r="AB53" s="234">
        <f>VLOOKUP($A$2,osobni!$F$31:$EQ$44,osobni!EL$3,FALSE)</f>
        <v>87620.000000000015</v>
      </c>
      <c r="AC53" s="234">
        <f>VLOOKUP($A$2,osobni!$F$31:$EQ$44,osobni!EM$3,FALSE)</f>
        <v>87180.000000000015</v>
      </c>
      <c r="AD53" s="234">
        <f>VLOOKUP($A$2,osobni!$F$31:$EQ$44,osobni!EN$3,FALSE)</f>
        <v>87620.000000000015</v>
      </c>
      <c r="AE53" s="234">
        <f>VLOOKUP($A$2,osobni!$F$31:$EQ$44,osobni!EO$3,FALSE)</f>
        <v>87510.000000000015</v>
      </c>
      <c r="AF53" s="234">
        <f>VLOOKUP($A$2,osobni!$F$31:$EQ$44,osobni!EP$3,FALSE)</f>
        <v>87070.000000000015</v>
      </c>
      <c r="AG53" s="51">
        <f t="shared" si="30"/>
        <v>1048580.0000000002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17500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17500</v>
      </c>
      <c r="AF54" s="234">
        <f>VLOOKUP($A$2,osobni!$F$31:$EQ$44,osobni!CZ$3,FALSE)</f>
        <v>0</v>
      </c>
      <c r="AG54" s="51">
        <f t="shared" si="30"/>
        <v>35000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1000</v>
      </c>
      <c r="V55" s="51">
        <v>1000</v>
      </c>
      <c r="W55" s="51">
        <v>1000</v>
      </c>
      <c r="X55" s="51">
        <v>1000</v>
      </c>
      <c r="Y55" s="51">
        <v>1000</v>
      </c>
      <c r="Z55" s="51">
        <v>1000</v>
      </c>
      <c r="AA55" s="51">
        <v>1000</v>
      </c>
      <c r="AB55" s="51">
        <v>1000</v>
      </c>
      <c r="AC55" s="51">
        <v>1000</v>
      </c>
      <c r="AD55" s="51">
        <v>1000</v>
      </c>
      <c r="AE55" s="51">
        <v>1000</v>
      </c>
      <c r="AF55" s="51">
        <v>1000</v>
      </c>
      <c r="AG55" s="51">
        <f t="shared" si="30"/>
        <v>12000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0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0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5000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7">SUM(U58:AF58)</f>
        <v>5000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234">
        <f>VLOOKUP($A$2,investice!$C$51:$AG$65,investice!U$51,FALSE)</f>
        <v>0</v>
      </c>
      <c r="V59" s="234">
        <f>VLOOKUP($A$2,investice!$C$51:$AG$65,investice!V$51,FALSE)</f>
        <v>0</v>
      </c>
      <c r="W59" s="234">
        <f>VLOOKUP($A$2,investice!$C$51:$AG$65,investice!W$51,FALSE)</f>
        <v>0</v>
      </c>
      <c r="X59" s="234">
        <f>VLOOKUP($A$2,investice!$C$51:$AG$65,investice!X$51,FALSE)</f>
        <v>0</v>
      </c>
      <c r="Y59" s="234">
        <f>VLOOKUP($A$2,investice!$C$51:$AG$65,investice!Y$51,FALSE)</f>
        <v>0</v>
      </c>
      <c r="Z59" s="234">
        <f>VLOOKUP($A$2,investice!$C$51:$AG$65,investice!Z$51,FALSE)</f>
        <v>0</v>
      </c>
      <c r="AA59" s="234">
        <f>VLOOKUP($A$2,investice!$C$51:$AG$65,investice!AA$51,FALSE)</f>
        <v>0</v>
      </c>
      <c r="AB59" s="234">
        <f>VLOOKUP($A$2,investice!$C$51:$AG$65,investice!AB$51,FALSE)</f>
        <v>0</v>
      </c>
      <c r="AC59" s="234">
        <f>VLOOKUP($A$2,investice!$C$51:$AG$65,investice!AC$51,FALSE)</f>
        <v>0</v>
      </c>
      <c r="AD59" s="234">
        <f>VLOOKUP($A$2,investice!$C$51:$AG$65,investice!AD$51,FALSE)</f>
        <v>0</v>
      </c>
      <c r="AE59" s="234">
        <f>VLOOKUP($A$2,investice!$C$51:$AG$65,investice!AE$51,FALSE)</f>
        <v>0</v>
      </c>
      <c r="AF59" s="234">
        <f>VLOOKUP($A$2,investice!$C$51:$AG$65,investice!AF$51,FALSE)</f>
        <v>0</v>
      </c>
      <c r="AG59" s="51">
        <f t="shared" si="30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666.66666666666663</v>
      </c>
      <c r="V60" s="235">
        <f>VLOOKUP($A$2,osobni!$F$31:$EQ$44,osobni!DD$3,FALSE)</f>
        <v>666.66666666666663</v>
      </c>
      <c r="W60" s="235">
        <f>VLOOKUP($A$2,osobni!$F$31:$EQ$44,osobni!DE$3,FALSE)</f>
        <v>666.66666666666663</v>
      </c>
      <c r="X60" s="235">
        <f>VLOOKUP($A$2,osobni!$F$31:$EQ$44,osobni!DF$3,FALSE)</f>
        <v>666.66666666666663</v>
      </c>
      <c r="Y60" s="235">
        <f>VLOOKUP($A$2,osobni!$F$31:$EQ$44,osobni!DG$3,FALSE)</f>
        <v>666.66666666666663</v>
      </c>
      <c r="Z60" s="235">
        <f>VLOOKUP($A$2,osobni!$F$31:$EQ$44,osobni!DH$3,FALSE)</f>
        <v>666.66666666666663</v>
      </c>
      <c r="AA60" s="235">
        <f>VLOOKUP($A$2,osobni!$F$31:$EQ$44,osobni!DI$3,FALSE)</f>
        <v>666.66666666666663</v>
      </c>
      <c r="AB60" s="235">
        <f>VLOOKUP($A$2,osobni!$F$31:$EQ$44,osobni!DJ$3,FALSE)</f>
        <v>666.66666666666663</v>
      </c>
      <c r="AC60" s="235">
        <f>VLOOKUP($A$2,osobni!$F$31:$EQ$44,osobni!DK$3,FALSE)</f>
        <v>666.66666666666663</v>
      </c>
      <c r="AD60" s="235">
        <f>VLOOKUP($A$2,osobni!$F$31:$EQ$44,osobni!DL$3,FALSE)</f>
        <v>666.66666666666663</v>
      </c>
      <c r="AE60" s="235">
        <f>VLOOKUP($A$2,osobni!$F$31:$EQ$44,osobni!DM$3,FALSE)</f>
        <v>666.66666666666663</v>
      </c>
      <c r="AF60" s="235">
        <f>VLOOKUP($A$2,osobni!$F$31:$EQ$44,osobni!DN$3,FALSE)</f>
        <v>666.66666666666663</v>
      </c>
      <c r="AG60" s="44">
        <f t="shared" si="30"/>
        <v>8000.0000000000009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89954.104954786468</v>
      </c>
      <c r="V61" s="41">
        <f t="shared" si="40"/>
        <v>89804.719596947558</v>
      </c>
      <c r="W61" s="41">
        <f t="shared" si="40"/>
        <v>98983.984476187281</v>
      </c>
      <c r="X61" s="41">
        <f t="shared" si="40"/>
        <v>92760.220271200276</v>
      </c>
      <c r="Y61" s="41">
        <f t="shared" si="40"/>
        <v>112777.90840455811</v>
      </c>
      <c r="Z61" s="41">
        <f t="shared" si="40"/>
        <v>121437.80801274025</v>
      </c>
      <c r="AA61" s="41">
        <f t="shared" si="40"/>
        <v>93006.574924910557</v>
      </c>
      <c r="AB61" s="41">
        <f t="shared" si="40"/>
        <v>93819.780298140235</v>
      </c>
      <c r="AC61" s="41">
        <f t="shared" si="40"/>
        <v>92330.638378959891</v>
      </c>
      <c r="AD61" s="41">
        <f t="shared" si="40"/>
        <v>95935.04964006599</v>
      </c>
      <c r="AE61" s="41">
        <f t="shared" si="40"/>
        <v>111745.47431924062</v>
      </c>
      <c r="AF61" s="41">
        <f t="shared" si="40"/>
        <v>89601.218185061851</v>
      </c>
      <c r="AG61" s="41">
        <f t="shared" si="30"/>
        <v>1182157.481462799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-89954.104954786468</v>
      </c>
      <c r="V64" s="63">
        <f t="shared" si="43"/>
        <v>-89804.719596947558</v>
      </c>
      <c r="W64" s="63">
        <f t="shared" si="43"/>
        <v>-98983.984476187281</v>
      </c>
      <c r="X64" s="63">
        <f t="shared" si="43"/>
        <v>-92760.220271200276</v>
      </c>
      <c r="Y64" s="63">
        <f t="shared" si="43"/>
        <v>-112777.90840455811</v>
      </c>
      <c r="Z64" s="63">
        <f t="shared" si="43"/>
        <v>-121437.80801274025</v>
      </c>
      <c r="AA64" s="63">
        <f t="shared" si="43"/>
        <v>-93006.574924910557</v>
      </c>
      <c r="AB64" s="63">
        <f t="shared" si="43"/>
        <v>-93819.780298140235</v>
      </c>
      <c r="AC64" s="63">
        <f t="shared" si="43"/>
        <v>-92330.638378959891</v>
      </c>
      <c r="AD64" s="63">
        <f t="shared" si="43"/>
        <v>-95935.04964006599</v>
      </c>
      <c r="AE64" s="63">
        <f t="shared" si="43"/>
        <v>-111745.47431924062</v>
      </c>
      <c r="AF64" s="63">
        <f t="shared" si="43"/>
        <v>-89601.218185061851</v>
      </c>
      <c r="AG64" s="63">
        <f t="shared" si="30"/>
        <v>-1182157.481462799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7">C64-C66+C67</f>
        <v>0</v>
      </c>
      <c r="D68" s="72">
        <f t="shared" si="47"/>
        <v>0</v>
      </c>
      <c r="E68" s="72">
        <f t="shared" si="47"/>
        <v>0</v>
      </c>
      <c r="G68" s="72">
        <f t="shared" ref="G68:R68" si="48">G64-G66+G67</f>
        <v>0</v>
      </c>
      <c r="H68" s="72">
        <f t="shared" si="48"/>
        <v>0</v>
      </c>
      <c r="I68" s="72">
        <f t="shared" si="48"/>
        <v>0</v>
      </c>
      <c r="J68" s="72">
        <f t="shared" si="48"/>
        <v>0</v>
      </c>
      <c r="K68" s="72">
        <f t="shared" si="48"/>
        <v>0</v>
      </c>
      <c r="L68" s="72">
        <f t="shared" si="48"/>
        <v>0</v>
      </c>
      <c r="M68" s="72">
        <f t="shared" si="48"/>
        <v>0</v>
      </c>
      <c r="N68" s="72">
        <f t="shared" si="48"/>
        <v>0</v>
      </c>
      <c r="O68" s="72">
        <f t="shared" si="48"/>
        <v>0</v>
      </c>
      <c r="P68" s="72">
        <f t="shared" si="48"/>
        <v>0</v>
      </c>
      <c r="Q68" s="72">
        <f t="shared" si="48"/>
        <v>0</v>
      </c>
      <c r="R68" s="72">
        <f t="shared" si="48"/>
        <v>0</v>
      </c>
      <c r="S68" s="72">
        <f>SUM(G68:R68)</f>
        <v>0</v>
      </c>
      <c r="T68" s="96"/>
      <c r="U68" s="72">
        <f t="shared" ref="U68:AF68" si="49">U64-U66+U67</f>
        <v>-89954.104954786468</v>
      </c>
      <c r="V68" s="72">
        <f t="shared" si="49"/>
        <v>-89804.719596947558</v>
      </c>
      <c r="W68" s="72">
        <f t="shared" si="49"/>
        <v>-98983.984476187281</v>
      </c>
      <c r="X68" s="72">
        <f t="shared" si="49"/>
        <v>-92760.220271200276</v>
      </c>
      <c r="Y68" s="72">
        <f t="shared" si="49"/>
        <v>-112777.90840455811</v>
      </c>
      <c r="Z68" s="72">
        <f t="shared" si="49"/>
        <v>-121437.80801274025</v>
      </c>
      <c r="AA68" s="72">
        <f t="shared" si="49"/>
        <v>-93006.574924910557</v>
      </c>
      <c r="AB68" s="72">
        <f t="shared" si="49"/>
        <v>-93819.780298140235</v>
      </c>
      <c r="AC68" s="72">
        <f t="shared" si="49"/>
        <v>-92330.638378959891</v>
      </c>
      <c r="AD68" s="72">
        <f t="shared" si="49"/>
        <v>-95935.04964006599</v>
      </c>
      <c r="AE68" s="72">
        <f t="shared" si="49"/>
        <v>-111745.47431924062</v>
      </c>
      <c r="AF68" s="72">
        <f t="shared" si="49"/>
        <v>-89601.218185061851</v>
      </c>
      <c r="AG68" s="72">
        <f>SUM(U68:AF68)</f>
        <v>-1182157.481462799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0">C68-C69</f>
        <v>0</v>
      </c>
      <c r="D70" s="78">
        <f t="shared" si="50"/>
        <v>0</v>
      </c>
      <c r="E70" s="78">
        <f t="shared" si="50"/>
        <v>0</v>
      </c>
      <c r="G70" s="78">
        <f t="shared" ref="G70:R70" si="51">G68-G69</f>
        <v>0</v>
      </c>
      <c r="H70" s="78">
        <f t="shared" si="51"/>
        <v>0</v>
      </c>
      <c r="I70" s="78">
        <f t="shared" si="51"/>
        <v>0</v>
      </c>
      <c r="J70" s="78">
        <f t="shared" si="51"/>
        <v>0</v>
      </c>
      <c r="K70" s="78">
        <f t="shared" si="51"/>
        <v>0</v>
      </c>
      <c r="L70" s="78">
        <f t="shared" si="51"/>
        <v>0</v>
      </c>
      <c r="M70" s="78">
        <f t="shared" si="51"/>
        <v>0</v>
      </c>
      <c r="N70" s="78">
        <f t="shared" si="51"/>
        <v>0</v>
      </c>
      <c r="O70" s="78">
        <f t="shared" si="51"/>
        <v>0</v>
      </c>
      <c r="P70" s="78">
        <f t="shared" si="51"/>
        <v>0</v>
      </c>
      <c r="Q70" s="78">
        <f t="shared" si="51"/>
        <v>0</v>
      </c>
      <c r="R70" s="78">
        <f t="shared" si="51"/>
        <v>0</v>
      </c>
      <c r="S70" s="78">
        <f>SUM(G70:R70)</f>
        <v>0</v>
      </c>
      <c r="T70" s="96"/>
      <c r="U70" s="78">
        <f t="shared" ref="U70:AF70" si="52">U68-U69</f>
        <v>-89954.104954786468</v>
      </c>
      <c r="V70" s="78">
        <f t="shared" si="52"/>
        <v>-89804.719596947558</v>
      </c>
      <c r="W70" s="78">
        <f t="shared" si="52"/>
        <v>-98983.984476187281</v>
      </c>
      <c r="X70" s="78">
        <f t="shared" si="52"/>
        <v>-92760.220271200276</v>
      </c>
      <c r="Y70" s="78">
        <f t="shared" si="52"/>
        <v>-112777.90840455811</v>
      </c>
      <c r="Z70" s="78">
        <f t="shared" si="52"/>
        <v>-121437.80801274025</v>
      </c>
      <c r="AA70" s="78">
        <f t="shared" si="52"/>
        <v>-93006.574924910557</v>
      </c>
      <c r="AB70" s="78">
        <f t="shared" si="52"/>
        <v>-93819.780298140235</v>
      </c>
      <c r="AC70" s="78">
        <f t="shared" si="52"/>
        <v>-92330.638378959891</v>
      </c>
      <c r="AD70" s="78">
        <f t="shared" si="52"/>
        <v>-95935.04964006599</v>
      </c>
      <c r="AE70" s="78">
        <f t="shared" si="52"/>
        <v>-111745.47431924062</v>
      </c>
      <c r="AF70" s="78">
        <f t="shared" si="52"/>
        <v>-89601.218185061851</v>
      </c>
      <c r="AG70" s="78">
        <f>SUM(U70:AF70)</f>
        <v>-1182157.481462799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3">C70/C10</f>
        <v>#DIV/0!</v>
      </c>
      <c r="D71" s="80" t="e">
        <f t="shared" si="53"/>
        <v>#DIV/0!</v>
      </c>
      <c r="E71" s="80" t="e">
        <f t="shared" si="53"/>
        <v>#DIV/0!</v>
      </c>
      <c r="G71" s="80" t="e">
        <f t="shared" ref="G71:S71" si="54">G70/G10</f>
        <v>#DIV/0!</v>
      </c>
      <c r="H71" s="80" t="e">
        <f t="shared" si="54"/>
        <v>#DIV/0!</v>
      </c>
      <c r="I71" s="80" t="e">
        <f t="shared" si="54"/>
        <v>#DIV/0!</v>
      </c>
      <c r="J71" s="80" t="e">
        <f t="shared" si="54"/>
        <v>#DIV/0!</v>
      </c>
      <c r="K71" s="80" t="e">
        <f t="shared" si="54"/>
        <v>#DIV/0!</v>
      </c>
      <c r="L71" s="80" t="e">
        <f t="shared" si="54"/>
        <v>#DIV/0!</v>
      </c>
      <c r="M71" s="80" t="e">
        <f t="shared" si="54"/>
        <v>#DIV/0!</v>
      </c>
      <c r="N71" s="80" t="e">
        <f t="shared" si="54"/>
        <v>#DIV/0!</v>
      </c>
      <c r="O71" s="80" t="e">
        <f t="shared" si="54"/>
        <v>#DIV/0!</v>
      </c>
      <c r="P71" s="80" t="e">
        <f t="shared" si="54"/>
        <v>#DIV/0!</v>
      </c>
      <c r="Q71" s="80" t="e">
        <f t="shared" si="54"/>
        <v>#DIV/0!</v>
      </c>
      <c r="R71" s="80" t="e">
        <f t="shared" si="54"/>
        <v>#DIV/0!</v>
      </c>
      <c r="S71" s="80" t="e">
        <f t="shared" si="54"/>
        <v>#DIV/0!</v>
      </c>
      <c r="U71" s="80" t="e">
        <f t="shared" ref="U71:AG71" si="55">U70/U10</f>
        <v>#DIV/0!</v>
      </c>
      <c r="V71" s="80" t="e">
        <f t="shared" si="55"/>
        <v>#DIV/0!</v>
      </c>
      <c r="W71" s="80" t="e">
        <f t="shared" si="55"/>
        <v>#DIV/0!</v>
      </c>
      <c r="X71" s="80" t="e">
        <f t="shared" si="55"/>
        <v>#DIV/0!</v>
      </c>
      <c r="Y71" s="80" t="e">
        <f t="shared" si="55"/>
        <v>#DIV/0!</v>
      </c>
      <c r="Z71" s="80" t="e">
        <f t="shared" si="55"/>
        <v>#DIV/0!</v>
      </c>
      <c r="AA71" s="80" t="e">
        <f t="shared" si="55"/>
        <v>#DIV/0!</v>
      </c>
      <c r="AB71" s="80" t="e">
        <f t="shared" si="55"/>
        <v>#DIV/0!</v>
      </c>
      <c r="AC71" s="80" t="e">
        <f t="shared" si="55"/>
        <v>#DIV/0!</v>
      </c>
      <c r="AD71" s="80" t="e">
        <f t="shared" si="55"/>
        <v>#DIV/0!</v>
      </c>
      <c r="AE71" s="80" t="e">
        <f t="shared" si="55"/>
        <v>#DIV/0!</v>
      </c>
      <c r="AF71" s="80" t="e">
        <f t="shared" si="55"/>
        <v>#DIV/0!</v>
      </c>
      <c r="AG71" s="80" t="e">
        <f t="shared" si="55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6">C64+C73</f>
        <v>0</v>
      </c>
      <c r="D74" s="84">
        <f t="shared" si="56"/>
        <v>0</v>
      </c>
      <c r="E74" s="84">
        <f t="shared" si="56"/>
        <v>0</v>
      </c>
      <c r="G74" s="84">
        <f t="shared" ref="G74:R74" si="57">G64+G73</f>
        <v>0</v>
      </c>
      <c r="H74" s="84">
        <f t="shared" si="57"/>
        <v>0</v>
      </c>
      <c r="I74" s="84">
        <f t="shared" si="57"/>
        <v>0</v>
      </c>
      <c r="J74" s="84">
        <f t="shared" si="57"/>
        <v>0</v>
      </c>
      <c r="K74" s="84">
        <f t="shared" si="57"/>
        <v>0</v>
      </c>
      <c r="L74" s="84">
        <f t="shared" si="57"/>
        <v>0</v>
      </c>
      <c r="M74" s="84">
        <f t="shared" si="57"/>
        <v>0</v>
      </c>
      <c r="N74" s="84">
        <f t="shared" si="57"/>
        <v>0</v>
      </c>
      <c r="O74" s="84">
        <f t="shared" si="57"/>
        <v>0</v>
      </c>
      <c r="P74" s="84">
        <f t="shared" si="57"/>
        <v>0</v>
      </c>
      <c r="Q74" s="84">
        <f t="shared" si="57"/>
        <v>0</v>
      </c>
      <c r="R74" s="84">
        <f t="shared" si="57"/>
        <v>0</v>
      </c>
      <c r="S74" s="84">
        <f>SUM(G74:R74)</f>
        <v>0</v>
      </c>
      <c r="U74" s="84">
        <f t="shared" ref="U74:AF74" si="58">U64+U73</f>
        <v>-89954.104954786468</v>
      </c>
      <c r="V74" s="84">
        <f t="shared" si="58"/>
        <v>-89804.719596947558</v>
      </c>
      <c r="W74" s="84">
        <f t="shared" si="58"/>
        <v>-98983.984476187281</v>
      </c>
      <c r="X74" s="84">
        <f t="shared" si="58"/>
        <v>-92760.220271200276</v>
      </c>
      <c r="Y74" s="84">
        <f t="shared" si="58"/>
        <v>-112777.90840455811</v>
      </c>
      <c r="Z74" s="84">
        <f t="shared" si="58"/>
        <v>-121437.80801274025</v>
      </c>
      <c r="AA74" s="84">
        <f t="shared" si="58"/>
        <v>-93006.574924910557</v>
      </c>
      <c r="AB74" s="84">
        <f t="shared" si="58"/>
        <v>-93819.780298140235</v>
      </c>
      <c r="AC74" s="84">
        <f t="shared" si="58"/>
        <v>-92330.638378959891</v>
      </c>
      <c r="AD74" s="84">
        <f t="shared" si="58"/>
        <v>-95935.04964006599</v>
      </c>
      <c r="AE74" s="84">
        <f t="shared" si="58"/>
        <v>-111745.47431924062</v>
      </c>
      <c r="AF74" s="84">
        <f t="shared" si="58"/>
        <v>-89601.218185061851</v>
      </c>
      <c r="AG74" s="84">
        <f>SUM(U74:AF74)</f>
        <v>-1182157.481462799</v>
      </c>
    </row>
    <row r="75" spans="1:33" s="110" customFormat="1">
      <c r="A75" s="85">
        <v>9790</v>
      </c>
      <c r="B75" s="86" t="s">
        <v>129</v>
      </c>
      <c r="C75" s="56" t="e">
        <f t="shared" ref="C75:E75" si="59">C74/C10</f>
        <v>#DIV/0!</v>
      </c>
      <c r="D75" s="56" t="e">
        <f t="shared" si="59"/>
        <v>#DIV/0!</v>
      </c>
      <c r="E75" s="56" t="e">
        <f t="shared" si="59"/>
        <v>#DIV/0!</v>
      </c>
      <c r="G75" s="56" t="e">
        <f t="shared" ref="G75:S75" si="60">G74/G10</f>
        <v>#DIV/0!</v>
      </c>
      <c r="H75" s="56" t="e">
        <f t="shared" si="60"/>
        <v>#DIV/0!</v>
      </c>
      <c r="I75" s="56" t="e">
        <f t="shared" si="60"/>
        <v>#DIV/0!</v>
      </c>
      <c r="J75" s="56" t="e">
        <f t="shared" si="60"/>
        <v>#DIV/0!</v>
      </c>
      <c r="K75" s="56" t="e">
        <f t="shared" si="60"/>
        <v>#DIV/0!</v>
      </c>
      <c r="L75" s="56" t="e">
        <f t="shared" si="60"/>
        <v>#DIV/0!</v>
      </c>
      <c r="M75" s="56" t="e">
        <f t="shared" si="60"/>
        <v>#DIV/0!</v>
      </c>
      <c r="N75" s="56" t="e">
        <f t="shared" si="60"/>
        <v>#DIV/0!</v>
      </c>
      <c r="O75" s="56" t="e">
        <f t="shared" si="60"/>
        <v>#DIV/0!</v>
      </c>
      <c r="P75" s="56" t="e">
        <f t="shared" si="60"/>
        <v>#DIV/0!</v>
      </c>
      <c r="Q75" s="56" t="e">
        <f t="shared" si="60"/>
        <v>#DIV/0!</v>
      </c>
      <c r="R75" s="56" t="e">
        <f t="shared" si="60"/>
        <v>#DIV/0!</v>
      </c>
      <c r="S75" s="56" t="e">
        <f t="shared" si="60"/>
        <v>#DIV/0!</v>
      </c>
      <c r="T75" s="109"/>
      <c r="U75" s="56" t="e">
        <f t="shared" ref="U75:AG75" si="61">U74/U10</f>
        <v>#DIV/0!</v>
      </c>
      <c r="V75" s="56" t="e">
        <f t="shared" si="61"/>
        <v>#DIV/0!</v>
      </c>
      <c r="W75" s="56" t="e">
        <f t="shared" si="61"/>
        <v>#DIV/0!</v>
      </c>
      <c r="X75" s="56" t="e">
        <f t="shared" si="61"/>
        <v>#DIV/0!</v>
      </c>
      <c r="Y75" s="56" t="e">
        <f t="shared" si="61"/>
        <v>#DIV/0!</v>
      </c>
      <c r="Z75" s="56" t="e">
        <f t="shared" si="61"/>
        <v>#DIV/0!</v>
      </c>
      <c r="AA75" s="56" t="e">
        <f t="shared" si="61"/>
        <v>#DIV/0!</v>
      </c>
      <c r="AB75" s="56" t="e">
        <f t="shared" si="61"/>
        <v>#DIV/0!</v>
      </c>
      <c r="AC75" s="56" t="e">
        <f t="shared" si="61"/>
        <v>#DIV/0!</v>
      </c>
      <c r="AD75" s="56" t="e">
        <f t="shared" si="61"/>
        <v>#DIV/0!</v>
      </c>
      <c r="AE75" s="56" t="e">
        <f t="shared" si="61"/>
        <v>#DIV/0!</v>
      </c>
      <c r="AF75" s="56" t="e">
        <f t="shared" si="61"/>
        <v>#DIV/0!</v>
      </c>
      <c r="AG75" s="56" t="e">
        <f t="shared" si="61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I5" activePane="bottomRight" state="frozen"/>
      <selection activeCell="W50" sqref="W50"/>
      <selection pane="topRight" activeCell="W50" sqref="W50"/>
      <selection pane="bottomLeft" activeCell="W50" sqref="W50"/>
      <selection pane="bottomRight" activeCell="B36" sqref="B36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customWidth="1" outlineLevel="1"/>
    <col min="13" max="18" width="13.28515625" style="45" customWidth="1" outlineLevel="1"/>
    <col min="19" max="19" width="17.85546875" style="45" customWidth="1"/>
    <col min="20" max="20" width="1.42578125" style="45" customWidth="1"/>
    <col min="21" max="32" width="12.42578125" style="45" bestFit="1" customWidth="1" outlineLevel="1"/>
    <col min="33" max="33" width="14.710937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6100</v>
      </c>
      <c r="B2" s="232" t="s">
        <v>65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idden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collapsed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234">
        <f>VLOOKUP($A$12,osobni!$F$45:$EQ$48,osobni!EE$3,FALSE)</f>
        <v>221290.85000000003</v>
      </c>
      <c r="V12" s="234">
        <f>VLOOKUP($A$12,osobni!$F$45:$EQ$48,osobni!EF$3,FALSE)</f>
        <v>220740.85000000003</v>
      </c>
      <c r="W12" s="234">
        <f>VLOOKUP($A$12,osobni!$F$45:$EQ$48,osobni!EG$3,FALSE)</f>
        <v>221015.85000000003</v>
      </c>
      <c r="X12" s="234">
        <f>VLOOKUP($A$12,osobni!$F$45:$EQ$48,osobni!EH$3,FALSE)</f>
        <v>220740.85000000003</v>
      </c>
      <c r="Y12" s="234">
        <f>VLOOKUP($A$12,osobni!$F$45:$EQ$48,osobni!EI$3,FALSE)</f>
        <v>221015.85000000003</v>
      </c>
      <c r="Z12" s="234">
        <f>VLOOKUP($A$12,osobni!$F$45:$EQ$48,osobni!EJ$3,FALSE)</f>
        <v>221015.85000000003</v>
      </c>
      <c r="AA12" s="234">
        <f>VLOOKUP($A$12,osobni!$F$45:$EQ$48,osobni!EK$3,FALSE)</f>
        <v>220740.85000000003</v>
      </c>
      <c r="AB12" s="234">
        <f>VLOOKUP($A$12,osobni!$F$45:$EQ$48,osobni!EL$3,FALSE)</f>
        <v>221565.85000000003</v>
      </c>
      <c r="AC12" s="234">
        <f>VLOOKUP($A$12,osobni!$F$45:$EQ$48,osobni!EM$3,FALSE)</f>
        <v>220465.85000000003</v>
      </c>
      <c r="AD12" s="234">
        <f>VLOOKUP($A$12,osobni!$F$45:$EQ$48,osobni!EN$3,FALSE)</f>
        <v>221565.85000000003</v>
      </c>
      <c r="AE12" s="234">
        <f>VLOOKUP($A$12,osobni!$F$45:$EQ$48,osobni!EO$3,FALSE)</f>
        <v>221290.85000000003</v>
      </c>
      <c r="AF12" s="234">
        <f>VLOOKUP($A$12,osobni!$F$45:$EQ$48,osobni!EP$3,FALSE)</f>
        <v>220190.85000000003</v>
      </c>
      <c r="AG12" s="41">
        <f t="shared" si="1"/>
        <v>2651640.2000000007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221290.85000000003</v>
      </c>
      <c r="V14" s="107">
        <f t="shared" si="7"/>
        <v>220740.85000000003</v>
      </c>
      <c r="W14" s="107">
        <f t="shared" si="7"/>
        <v>221015.85000000003</v>
      </c>
      <c r="X14" s="107">
        <f t="shared" si="7"/>
        <v>220740.85000000003</v>
      </c>
      <c r="Y14" s="107">
        <f t="shared" si="7"/>
        <v>221015.85000000003</v>
      </c>
      <c r="Z14" s="107">
        <f t="shared" si="7"/>
        <v>221015.85000000003</v>
      </c>
      <c r="AA14" s="107">
        <f t="shared" si="7"/>
        <v>220740.85000000003</v>
      </c>
      <c r="AB14" s="107">
        <f t="shared" si="7"/>
        <v>221565.85000000003</v>
      </c>
      <c r="AC14" s="107">
        <f t="shared" si="7"/>
        <v>220465.85000000003</v>
      </c>
      <c r="AD14" s="107">
        <f t="shared" si="7"/>
        <v>221565.85000000003</v>
      </c>
      <c r="AE14" s="107">
        <f t="shared" si="7"/>
        <v>221290.85000000003</v>
      </c>
      <c r="AF14" s="107">
        <f t="shared" si="7"/>
        <v>220190.85000000003</v>
      </c>
      <c r="AG14" s="107">
        <f t="shared" si="1"/>
        <v>2651640.2000000007</v>
      </c>
    </row>
    <row r="15" spans="1:33" s="96" customFormat="1" hidden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outlineLevel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 outlineLevel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 outlineLevel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 outlineLevel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 outlineLevel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221290.85000000003</v>
      </c>
      <c r="V21" s="107">
        <f t="shared" si="13"/>
        <v>220740.85000000003</v>
      </c>
      <c r="W21" s="107">
        <f t="shared" si="13"/>
        <v>221015.85000000003</v>
      </c>
      <c r="X21" s="107">
        <f t="shared" si="13"/>
        <v>220740.85000000003</v>
      </c>
      <c r="Y21" s="107">
        <f t="shared" si="13"/>
        <v>221015.85000000003</v>
      </c>
      <c r="Z21" s="107">
        <f t="shared" si="13"/>
        <v>221015.85000000003</v>
      </c>
      <c r="AA21" s="107">
        <f t="shared" si="13"/>
        <v>220740.85000000003</v>
      </c>
      <c r="AB21" s="107">
        <f t="shared" si="13"/>
        <v>221565.85000000003</v>
      </c>
      <c r="AC21" s="107">
        <f t="shared" si="13"/>
        <v>220465.85000000003</v>
      </c>
      <c r="AD21" s="107">
        <f t="shared" si="13"/>
        <v>221565.85000000003</v>
      </c>
      <c r="AE21" s="107">
        <f t="shared" si="13"/>
        <v>221290.85000000003</v>
      </c>
      <c r="AF21" s="107">
        <f t="shared" si="13"/>
        <v>220190.85000000003</v>
      </c>
      <c r="AG21" s="107">
        <f t="shared" si="1"/>
        <v>2651640.2000000007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 outlineLevel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-221290.85000000003</v>
      </c>
      <c r="V22" s="51">
        <f t="shared" si="15"/>
        <v>-220740.85000000003</v>
      </c>
      <c r="W22" s="51">
        <f t="shared" si="15"/>
        <v>-221015.85000000003</v>
      </c>
      <c r="X22" s="51">
        <f t="shared" si="15"/>
        <v>-220740.85000000003</v>
      </c>
      <c r="Y22" s="51">
        <f t="shared" si="15"/>
        <v>-221015.85000000003</v>
      </c>
      <c r="Z22" s="51">
        <f t="shared" si="15"/>
        <v>-221015.85000000003</v>
      </c>
      <c r="AA22" s="51">
        <f t="shared" si="15"/>
        <v>-220740.85000000003</v>
      </c>
      <c r="AB22" s="51">
        <f t="shared" si="15"/>
        <v>-221565.85000000003</v>
      </c>
      <c r="AC22" s="51">
        <f t="shared" si="15"/>
        <v>-220465.85000000003</v>
      </c>
      <c r="AD22" s="51">
        <f t="shared" si="15"/>
        <v>-221565.85000000003</v>
      </c>
      <c r="AE22" s="51">
        <f t="shared" si="15"/>
        <v>-221290.85000000003</v>
      </c>
      <c r="AF22" s="51">
        <f t="shared" si="15"/>
        <v>-220190.85000000003</v>
      </c>
      <c r="AG22" s="51">
        <f t="shared" si="1"/>
        <v>-2651640.2000000007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 outlineLevel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 outlineLevel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 outlineLevel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 outlineLevel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 outlineLevel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-221290.85000000003</v>
      </c>
      <c r="V27" s="53">
        <f t="shared" si="22"/>
        <v>-220740.85000000003</v>
      </c>
      <c r="W27" s="53">
        <f t="shared" si="22"/>
        <v>-221015.85000000003</v>
      </c>
      <c r="X27" s="53">
        <f t="shared" si="22"/>
        <v>-220740.85000000003</v>
      </c>
      <c r="Y27" s="53">
        <f t="shared" si="22"/>
        <v>-221015.85000000003</v>
      </c>
      <c r="Z27" s="53">
        <f t="shared" si="22"/>
        <v>-221015.85000000003</v>
      </c>
      <c r="AA27" s="53">
        <f t="shared" si="22"/>
        <v>-220740.85000000003</v>
      </c>
      <c r="AB27" s="53">
        <f t="shared" si="22"/>
        <v>-221565.85000000003</v>
      </c>
      <c r="AC27" s="53">
        <f t="shared" si="22"/>
        <v>-220465.85000000003</v>
      </c>
      <c r="AD27" s="53">
        <f t="shared" si="22"/>
        <v>-221565.85000000003</v>
      </c>
      <c r="AE27" s="53">
        <f t="shared" si="22"/>
        <v>-221290.85000000003</v>
      </c>
      <c r="AF27" s="53">
        <f t="shared" si="22"/>
        <v>-220190.85000000003</v>
      </c>
      <c r="AG27" s="53">
        <f t="shared" si="1"/>
        <v>-2651640.2000000007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 outlineLevel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 outlineLevel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 outlineLevel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 outlineLevel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 outlineLevel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outlineLevel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t="24.95" customHeight="1" collapsed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f>125000+V34</f>
        <v>135587.5</v>
      </c>
      <c r="V34" s="51">
        <f>121000/12*$AH34</f>
        <v>10587.500000000002</v>
      </c>
      <c r="W34" s="51">
        <f t="shared" ref="W34:AF34" si="30">121000/12*$AH34</f>
        <v>10587.500000000002</v>
      </c>
      <c r="X34" s="51">
        <f t="shared" si="30"/>
        <v>10587.500000000002</v>
      </c>
      <c r="Y34" s="51">
        <f t="shared" si="30"/>
        <v>10587.500000000002</v>
      </c>
      <c r="Z34" s="51">
        <f t="shared" si="30"/>
        <v>10587.500000000002</v>
      </c>
      <c r="AA34" s="51">
        <f t="shared" si="30"/>
        <v>10587.500000000002</v>
      </c>
      <c r="AB34" s="51">
        <f t="shared" si="30"/>
        <v>10587.500000000002</v>
      </c>
      <c r="AC34" s="51">
        <f t="shared" si="30"/>
        <v>10587.500000000002</v>
      </c>
      <c r="AD34" s="51">
        <f t="shared" si="30"/>
        <v>10587.500000000002</v>
      </c>
      <c r="AE34" s="51">
        <f t="shared" si="30"/>
        <v>10587.500000000002</v>
      </c>
      <c r="AF34" s="51">
        <f t="shared" si="30"/>
        <v>10587.500000000002</v>
      </c>
      <c r="AG34" s="51">
        <f t="shared" ref="AG34:AG64" si="31">SUM(U34:AF34)</f>
        <v>252050</v>
      </c>
      <c r="AH34" s="311">
        <v>1.05</v>
      </c>
      <c r="AI34" s="96" t="s">
        <v>251</v>
      </c>
    </row>
    <row r="35" spans="1:43" s="96" customFormat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f>166000/12*$AH35</f>
        <v>14525.000000000002</v>
      </c>
      <c r="V35" s="51">
        <f>41000/12*$AH35</f>
        <v>3587.5</v>
      </c>
      <c r="W35" s="51">
        <f t="shared" ref="W35:AF35" si="32">41000/12*$AH35</f>
        <v>3587.5</v>
      </c>
      <c r="X35" s="51">
        <f t="shared" si="32"/>
        <v>3587.5</v>
      </c>
      <c r="Y35" s="51">
        <f t="shared" si="32"/>
        <v>3587.5</v>
      </c>
      <c r="Z35" s="51">
        <f t="shared" si="32"/>
        <v>3587.5</v>
      </c>
      <c r="AA35" s="51">
        <f t="shared" si="32"/>
        <v>3587.5</v>
      </c>
      <c r="AB35" s="51">
        <f t="shared" si="32"/>
        <v>3587.5</v>
      </c>
      <c r="AC35" s="51">
        <f t="shared" si="32"/>
        <v>3587.5</v>
      </c>
      <c r="AD35" s="51">
        <f t="shared" si="32"/>
        <v>3587.5</v>
      </c>
      <c r="AE35" s="51">
        <f t="shared" si="32"/>
        <v>3587.5</v>
      </c>
      <c r="AF35" s="51">
        <f t="shared" si="32"/>
        <v>3587.5</v>
      </c>
      <c r="AG35" s="51">
        <f t="shared" si="31"/>
        <v>53987.5</v>
      </c>
      <c r="AH35" s="311">
        <v>1.05</v>
      </c>
    </row>
    <row r="36" spans="1:43" s="96" customFormat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f t="array" ref="U36:AF36">41222/12*$AH36</f>
        <v>3435.1666666666665</v>
      </c>
      <c r="V36" s="51">
        <v>3435.1666666666665</v>
      </c>
      <c r="W36" s="51">
        <v>3435.1666666666665</v>
      </c>
      <c r="X36" s="51">
        <v>3435.1666666666665</v>
      </c>
      <c r="Y36" s="51">
        <v>3435.1666666666665</v>
      </c>
      <c r="Z36" s="51">
        <v>3435.1666666666665</v>
      </c>
      <c r="AA36" s="51">
        <v>3435.1666666666665</v>
      </c>
      <c r="AB36" s="51">
        <v>3435.1666666666665</v>
      </c>
      <c r="AC36" s="51">
        <v>3435.1666666666665</v>
      </c>
      <c r="AD36" s="51">
        <v>3435.1666666666665</v>
      </c>
      <c r="AE36" s="51">
        <v>3435.1666666666665</v>
      </c>
      <c r="AF36" s="51">
        <v>3435.1666666666665</v>
      </c>
      <c r="AG36" s="51">
        <f t="shared" si="31"/>
        <v>41222</v>
      </c>
      <c r="AH36" s="96">
        <v>1</v>
      </c>
    </row>
    <row r="37" spans="1:43" s="96" customFormat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1"/>
        <v>0</v>
      </c>
      <c r="AH37" s="96">
        <v>0</v>
      </c>
    </row>
    <row r="38" spans="1:43" s="96" customFormat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235">
        <f>VLOOKUP($A$2,investice!$C$51:$AG$65,investice!U$51,FALSE)</f>
        <v>13522.333333333332</v>
      </c>
      <c r="V38" s="235">
        <f>VLOOKUP($A$2,investice!$C$51:$AG$65,investice!V$51,FALSE)</f>
        <v>13522.333333333332</v>
      </c>
      <c r="W38" s="235">
        <f>VLOOKUP($A$2,investice!$C$51:$AG$65,investice!W$51,FALSE)</f>
        <v>13522.333333333332</v>
      </c>
      <c r="X38" s="235">
        <f>VLOOKUP($A$2,investice!$C$51:$AG$65,investice!X$51,FALSE)</f>
        <v>13522.333333333332</v>
      </c>
      <c r="Y38" s="235">
        <f>VLOOKUP($A$2,investice!$C$51:$AG$65,investice!Y$51,FALSE)</f>
        <v>13522.333333333332</v>
      </c>
      <c r="Z38" s="235">
        <f>VLOOKUP($A$2,investice!$C$51:$AG$65,investice!Z$51,FALSE)</f>
        <v>13522.333333333332</v>
      </c>
      <c r="AA38" s="235">
        <f>VLOOKUP($A$2,investice!$C$51:$AG$65,investice!AA$51,FALSE)</f>
        <v>13522.333333333332</v>
      </c>
      <c r="AB38" s="235">
        <f>VLOOKUP($A$2,investice!$C$51:$AG$65,investice!AB$51,FALSE)</f>
        <v>13522.333333333332</v>
      </c>
      <c r="AC38" s="235">
        <f>VLOOKUP($A$2,investice!$C$51:$AG$65,investice!AC$51,FALSE)</f>
        <v>16855.666666666668</v>
      </c>
      <c r="AD38" s="235">
        <f>VLOOKUP($A$2,investice!$C$51:$AG$65,investice!AD$51,FALSE)</f>
        <v>16855.666666666668</v>
      </c>
      <c r="AE38" s="235">
        <f>VLOOKUP($A$2,investice!$C$51:$AG$65,investice!AE$51,FALSE)</f>
        <v>16855.666666666668</v>
      </c>
      <c r="AF38" s="235">
        <f>VLOOKUP($A$2,investice!$C$51:$AG$65,investice!AF$51,FALSE)</f>
        <v>16855.666666666668</v>
      </c>
      <c r="AG38" s="44">
        <f t="shared" si="31"/>
        <v>175601.33333333328</v>
      </c>
    </row>
    <row r="39" spans="1:43" s="96" customFormat="1">
      <c r="A39" s="57">
        <v>9300</v>
      </c>
      <c r="B39" s="57" t="s">
        <v>14</v>
      </c>
      <c r="C39" s="41">
        <f t="shared" ref="C39:E39" si="33">SUM(C34:C38)</f>
        <v>0</v>
      </c>
      <c r="D39" s="41">
        <f t="shared" si="33"/>
        <v>0</v>
      </c>
      <c r="E39" s="41">
        <f t="shared" si="33"/>
        <v>0</v>
      </c>
      <c r="G39" s="41">
        <f t="shared" ref="G39:R39" si="34">SUM(G34:G38)</f>
        <v>0</v>
      </c>
      <c r="H39" s="41">
        <f t="shared" si="34"/>
        <v>0</v>
      </c>
      <c r="I39" s="41">
        <f t="shared" si="34"/>
        <v>0</v>
      </c>
      <c r="J39" s="41">
        <f t="shared" si="34"/>
        <v>0</v>
      </c>
      <c r="K39" s="41">
        <f t="shared" si="34"/>
        <v>0</v>
      </c>
      <c r="L39" s="41">
        <f t="shared" si="34"/>
        <v>0</v>
      </c>
      <c r="M39" s="41">
        <f t="shared" si="34"/>
        <v>0</v>
      </c>
      <c r="N39" s="41">
        <f t="shared" si="34"/>
        <v>0</v>
      </c>
      <c r="O39" s="41">
        <f t="shared" si="34"/>
        <v>0</v>
      </c>
      <c r="P39" s="41">
        <f t="shared" si="34"/>
        <v>0</v>
      </c>
      <c r="Q39" s="41">
        <f t="shared" si="34"/>
        <v>0</v>
      </c>
      <c r="R39" s="41">
        <f t="shared" si="34"/>
        <v>0</v>
      </c>
      <c r="S39" s="41">
        <f t="shared" si="29"/>
        <v>0</v>
      </c>
      <c r="U39" s="41">
        <f t="shared" ref="U39:AF39" si="35">SUM(U34:U38)</f>
        <v>167070</v>
      </c>
      <c r="V39" s="41">
        <f t="shared" si="35"/>
        <v>31132.5</v>
      </c>
      <c r="W39" s="41">
        <f t="shared" si="35"/>
        <v>31132.5</v>
      </c>
      <c r="X39" s="41">
        <f t="shared" si="35"/>
        <v>31132.5</v>
      </c>
      <c r="Y39" s="41">
        <f t="shared" si="35"/>
        <v>31132.5</v>
      </c>
      <c r="Z39" s="41">
        <f t="shared" si="35"/>
        <v>31132.5</v>
      </c>
      <c r="AA39" s="41">
        <f t="shared" si="35"/>
        <v>31132.5</v>
      </c>
      <c r="AB39" s="41">
        <f t="shared" si="35"/>
        <v>31132.5</v>
      </c>
      <c r="AC39" s="41">
        <f t="shared" si="35"/>
        <v>34465.833333333336</v>
      </c>
      <c r="AD39" s="41">
        <f t="shared" si="35"/>
        <v>34465.833333333336</v>
      </c>
      <c r="AE39" s="41">
        <f t="shared" si="35"/>
        <v>34465.833333333336</v>
      </c>
      <c r="AF39" s="41">
        <f t="shared" si="35"/>
        <v>34465.833333333336</v>
      </c>
      <c r="AG39" s="41">
        <f t="shared" si="31"/>
        <v>522860.83333333326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1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1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1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1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1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1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1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1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6">SUM(C40:C47)</f>
        <v>0</v>
      </c>
      <c r="D48" s="41">
        <f t="shared" si="36"/>
        <v>0</v>
      </c>
      <c r="E48" s="41">
        <f t="shared" si="36"/>
        <v>0</v>
      </c>
      <c r="G48" s="41">
        <f t="shared" ref="G48:R48" si="37">SUM(G40:G47)</f>
        <v>0</v>
      </c>
      <c r="H48" s="41">
        <f t="shared" si="37"/>
        <v>0</v>
      </c>
      <c r="I48" s="41">
        <f t="shared" si="37"/>
        <v>0</v>
      </c>
      <c r="J48" s="41">
        <f t="shared" si="37"/>
        <v>0</v>
      </c>
      <c r="K48" s="41">
        <f t="shared" si="37"/>
        <v>0</v>
      </c>
      <c r="L48" s="41">
        <f t="shared" si="37"/>
        <v>0</v>
      </c>
      <c r="M48" s="41">
        <f t="shared" si="37"/>
        <v>0</v>
      </c>
      <c r="N48" s="41">
        <f t="shared" si="37"/>
        <v>0</v>
      </c>
      <c r="O48" s="41">
        <f t="shared" si="37"/>
        <v>0</v>
      </c>
      <c r="P48" s="41">
        <f t="shared" si="37"/>
        <v>0</v>
      </c>
      <c r="Q48" s="41">
        <f t="shared" si="37"/>
        <v>0</v>
      </c>
      <c r="R48" s="41">
        <f t="shared" si="37"/>
        <v>0</v>
      </c>
      <c r="S48" s="41">
        <f t="shared" si="29"/>
        <v>0</v>
      </c>
      <c r="U48" s="41">
        <f t="shared" ref="U48:AF48" si="38">SUM(U40:U47)</f>
        <v>0</v>
      </c>
      <c r="V48" s="41">
        <f t="shared" si="38"/>
        <v>0</v>
      </c>
      <c r="W48" s="41">
        <f t="shared" si="38"/>
        <v>0</v>
      </c>
      <c r="X48" s="41">
        <f t="shared" si="38"/>
        <v>0</v>
      </c>
      <c r="Y48" s="41">
        <f t="shared" si="38"/>
        <v>0</v>
      </c>
      <c r="Z48" s="41">
        <f t="shared" si="38"/>
        <v>0</v>
      </c>
      <c r="AA48" s="41">
        <f t="shared" si="38"/>
        <v>0</v>
      </c>
      <c r="AB48" s="41">
        <f t="shared" si="38"/>
        <v>0</v>
      </c>
      <c r="AC48" s="41">
        <f t="shared" si="38"/>
        <v>0</v>
      </c>
      <c r="AD48" s="41">
        <f t="shared" si="38"/>
        <v>0</v>
      </c>
      <c r="AE48" s="41">
        <f t="shared" si="38"/>
        <v>0</v>
      </c>
      <c r="AF48" s="41">
        <f t="shared" si="38"/>
        <v>0</v>
      </c>
      <c r="AG48" s="41">
        <f t="shared" si="31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1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1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1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1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VLOOKUP($A$2,osobni!$F$31:$EQ$44,osobni!EE$3,FALSE)-U12</f>
        <v>0</v>
      </c>
      <c r="V53" s="234">
        <f>VLOOKUP($A$2,osobni!$F$31:$EQ$44,osobni!EF$3,FALSE)-V12</f>
        <v>0</v>
      </c>
      <c r="W53" s="234">
        <f>VLOOKUP($A$2,osobni!$F$31:$EQ$44,osobni!EG$3,FALSE)-W12</f>
        <v>0</v>
      </c>
      <c r="X53" s="234">
        <f>VLOOKUP($A$2,osobni!$F$31:$EQ$44,osobni!EH$3,FALSE)-X12</f>
        <v>0</v>
      </c>
      <c r="Y53" s="234">
        <f>VLOOKUP($A$2,osobni!$F$31:$EQ$44,osobni!EI$3,FALSE)-Y12</f>
        <v>0</v>
      </c>
      <c r="Z53" s="234">
        <f>VLOOKUP($A$2,osobni!$F$31:$EQ$44,osobni!EJ$3,FALSE)-Z12</f>
        <v>0</v>
      </c>
      <c r="AA53" s="234">
        <f>VLOOKUP($A$2,osobni!$F$31:$EQ$44,osobni!EK$3,FALSE)-AA12</f>
        <v>0</v>
      </c>
      <c r="AB53" s="234">
        <f>VLOOKUP($A$2,osobni!$F$31:$EQ$44,osobni!EL$3,FALSE)-AB12</f>
        <v>0</v>
      </c>
      <c r="AC53" s="234">
        <f>VLOOKUP($A$2,osobni!$F$31:$EQ$44,osobni!EM$3,FALSE)-AC12</f>
        <v>0</v>
      </c>
      <c r="AD53" s="234">
        <f>VLOOKUP($A$2,osobni!$F$31:$EQ$44,osobni!EN$3,FALSE)-AD12</f>
        <v>0</v>
      </c>
      <c r="AE53" s="234">
        <f>VLOOKUP($A$2,osobni!$F$31:$EQ$44,osobni!EO$3,FALSE)-AE12</f>
        <v>0</v>
      </c>
      <c r="AF53" s="234">
        <f>VLOOKUP($A$2,osobni!$F$31:$EQ$44,osobni!EP$3,FALSE)-AF12</f>
        <v>0</v>
      </c>
      <c r="AG53" s="51">
        <f t="shared" si="31"/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3000</v>
      </c>
      <c r="X54" s="234">
        <f>VLOOKUP($A$2,osobni!$F$31:$EQ$44,osobni!CR$3,FALSE)</f>
        <v>0</v>
      </c>
      <c r="Y54" s="234">
        <f>VLOOKUP($A$2,osobni!$F$31:$EQ$44,osobni!CS$3,FALSE)</f>
        <v>22000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22000</v>
      </c>
      <c r="AF54" s="234">
        <f>VLOOKUP($A$2,osobni!$F$31:$EQ$44,osobni!CZ$3,FALSE)</f>
        <v>0</v>
      </c>
      <c r="AG54" s="51">
        <f t="shared" si="31"/>
        <v>47000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31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1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1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9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31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1666.6666666666665</v>
      </c>
      <c r="V60" s="235">
        <f>VLOOKUP($A$2,osobni!$F$31:$EQ$44,osobni!DD$3,FALSE)</f>
        <v>1666.6666666666665</v>
      </c>
      <c r="W60" s="235">
        <f>VLOOKUP($A$2,osobni!$F$31:$EQ$44,osobni!DE$3,FALSE)</f>
        <v>1666.6666666666665</v>
      </c>
      <c r="X60" s="235">
        <f>VLOOKUP($A$2,osobni!$F$31:$EQ$44,osobni!DF$3,FALSE)</f>
        <v>1666.6666666666665</v>
      </c>
      <c r="Y60" s="235">
        <f>VLOOKUP($A$2,osobni!$F$31:$EQ$44,osobni!DG$3,FALSE)</f>
        <v>1666.6666666666665</v>
      </c>
      <c r="Z60" s="235">
        <f>VLOOKUP($A$2,osobni!$F$31:$EQ$44,osobni!DH$3,FALSE)</f>
        <v>1666.6666666666665</v>
      </c>
      <c r="AA60" s="235">
        <f>VLOOKUP($A$2,osobni!$F$31:$EQ$44,osobni!DI$3,FALSE)</f>
        <v>1666.6666666666665</v>
      </c>
      <c r="AB60" s="235">
        <f>VLOOKUP($A$2,osobni!$F$31:$EQ$44,osobni!DJ$3,FALSE)</f>
        <v>1666.6666666666665</v>
      </c>
      <c r="AC60" s="235">
        <f>VLOOKUP($A$2,osobni!$F$31:$EQ$44,osobni!DK$3,FALSE)</f>
        <v>1666.6666666666665</v>
      </c>
      <c r="AD60" s="235">
        <f>VLOOKUP($A$2,osobni!$F$31:$EQ$44,osobni!DL$3,FALSE)</f>
        <v>1666.6666666666665</v>
      </c>
      <c r="AE60" s="235">
        <f>VLOOKUP($A$2,osobni!$F$31:$EQ$44,osobni!DM$3,FALSE)</f>
        <v>1666.6666666666665</v>
      </c>
      <c r="AF60" s="235">
        <f>VLOOKUP($A$2,osobni!$F$31:$EQ$44,osobni!DN$3,FALSE)</f>
        <v>1666.6666666666665</v>
      </c>
      <c r="AG60" s="44">
        <f t="shared" si="31"/>
        <v>20000</v>
      </c>
    </row>
    <row r="61" spans="1:33" s="96" customFormat="1">
      <c r="A61" s="57">
        <v>9500</v>
      </c>
      <c r="B61" s="57" t="s">
        <v>121</v>
      </c>
      <c r="C61" s="41">
        <f t="shared" ref="C61:E61" si="40">SUM(C49:C60)</f>
        <v>0</v>
      </c>
      <c r="D61" s="41">
        <f t="shared" si="40"/>
        <v>0</v>
      </c>
      <c r="E61" s="41">
        <f t="shared" si="40"/>
        <v>0</v>
      </c>
      <c r="G61" s="41">
        <f t="shared" ref="G61:R61" si="41">SUM(G49:G60)</f>
        <v>0</v>
      </c>
      <c r="H61" s="41">
        <f t="shared" si="41"/>
        <v>0</v>
      </c>
      <c r="I61" s="41">
        <f t="shared" si="41"/>
        <v>0</v>
      </c>
      <c r="J61" s="41">
        <f t="shared" si="41"/>
        <v>0</v>
      </c>
      <c r="K61" s="41">
        <f t="shared" si="41"/>
        <v>0</v>
      </c>
      <c r="L61" s="41">
        <f t="shared" si="41"/>
        <v>0</v>
      </c>
      <c r="M61" s="41">
        <f t="shared" si="41"/>
        <v>0</v>
      </c>
      <c r="N61" s="41">
        <f t="shared" si="41"/>
        <v>0</v>
      </c>
      <c r="O61" s="41">
        <f t="shared" si="41"/>
        <v>0</v>
      </c>
      <c r="P61" s="41">
        <f t="shared" si="41"/>
        <v>0</v>
      </c>
      <c r="Q61" s="41">
        <f t="shared" si="41"/>
        <v>0</v>
      </c>
      <c r="R61" s="41">
        <f t="shared" si="41"/>
        <v>0</v>
      </c>
      <c r="S61" s="41">
        <f t="shared" si="29"/>
        <v>0</v>
      </c>
      <c r="U61" s="41">
        <f t="shared" ref="U61:AF61" si="42">SUM(U49:U60)</f>
        <v>1666.6666666666665</v>
      </c>
      <c r="V61" s="41">
        <f t="shared" si="42"/>
        <v>1666.6666666666665</v>
      </c>
      <c r="W61" s="41">
        <f t="shared" si="42"/>
        <v>4666.6666666666661</v>
      </c>
      <c r="X61" s="41">
        <f t="shared" si="42"/>
        <v>1666.6666666666665</v>
      </c>
      <c r="Y61" s="41">
        <f t="shared" si="42"/>
        <v>23666.666666666668</v>
      </c>
      <c r="Z61" s="41">
        <f t="shared" si="42"/>
        <v>1666.6666666666665</v>
      </c>
      <c r="AA61" s="41">
        <f t="shared" si="42"/>
        <v>1666.6666666666665</v>
      </c>
      <c r="AB61" s="41">
        <f t="shared" si="42"/>
        <v>1666.6666666666665</v>
      </c>
      <c r="AC61" s="41">
        <f t="shared" si="42"/>
        <v>1666.6666666666665</v>
      </c>
      <c r="AD61" s="41">
        <f t="shared" si="42"/>
        <v>1666.6666666666665</v>
      </c>
      <c r="AE61" s="41">
        <f t="shared" si="42"/>
        <v>23666.666666666668</v>
      </c>
      <c r="AF61" s="41">
        <f t="shared" si="42"/>
        <v>1666.6666666666665</v>
      </c>
      <c r="AG61" s="41">
        <f t="shared" si="31"/>
        <v>67000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1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1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3">C27-C48-C39-C61+C63-C62</f>
        <v>0</v>
      </c>
      <c r="D64" s="63">
        <f t="shared" si="43"/>
        <v>0</v>
      </c>
      <c r="E64" s="63">
        <f t="shared" si="43"/>
        <v>0</v>
      </c>
      <c r="G64" s="63">
        <f t="shared" ref="G64:R64" si="44">G27-G48-G39-G61+G63-G62</f>
        <v>0</v>
      </c>
      <c r="H64" s="63">
        <f t="shared" si="44"/>
        <v>0</v>
      </c>
      <c r="I64" s="63">
        <f t="shared" si="44"/>
        <v>0</v>
      </c>
      <c r="J64" s="63">
        <f t="shared" si="44"/>
        <v>0</v>
      </c>
      <c r="K64" s="63">
        <f t="shared" si="44"/>
        <v>0</v>
      </c>
      <c r="L64" s="63">
        <f t="shared" si="44"/>
        <v>0</v>
      </c>
      <c r="M64" s="63">
        <f t="shared" si="44"/>
        <v>0</v>
      </c>
      <c r="N64" s="63">
        <f t="shared" si="44"/>
        <v>0</v>
      </c>
      <c r="O64" s="63">
        <f t="shared" si="44"/>
        <v>0</v>
      </c>
      <c r="P64" s="63">
        <f t="shared" si="44"/>
        <v>0</v>
      </c>
      <c r="Q64" s="63">
        <f t="shared" si="44"/>
        <v>0</v>
      </c>
      <c r="R64" s="63">
        <f t="shared" si="44"/>
        <v>0</v>
      </c>
      <c r="S64" s="63">
        <f t="shared" si="29"/>
        <v>0</v>
      </c>
      <c r="U64" s="63">
        <f t="shared" ref="U64:AF64" si="45">U27-U48-U39-U61+U63-U62</f>
        <v>-390027.51666666672</v>
      </c>
      <c r="V64" s="63">
        <f t="shared" si="45"/>
        <v>-253540.01666666669</v>
      </c>
      <c r="W64" s="63">
        <f t="shared" si="45"/>
        <v>-256815.01666666669</v>
      </c>
      <c r="X64" s="63">
        <f t="shared" si="45"/>
        <v>-253540.01666666669</v>
      </c>
      <c r="Y64" s="63">
        <f t="shared" si="45"/>
        <v>-275815.01666666672</v>
      </c>
      <c r="Z64" s="63">
        <f t="shared" si="45"/>
        <v>-253815.01666666669</v>
      </c>
      <c r="AA64" s="63">
        <f t="shared" si="45"/>
        <v>-253540.01666666669</v>
      </c>
      <c r="AB64" s="63">
        <f t="shared" si="45"/>
        <v>-254365.01666666669</v>
      </c>
      <c r="AC64" s="63">
        <f t="shared" si="45"/>
        <v>-256598.35000000003</v>
      </c>
      <c r="AD64" s="63">
        <f t="shared" si="45"/>
        <v>-257698.35000000003</v>
      </c>
      <c r="AE64" s="63">
        <f t="shared" si="45"/>
        <v>-279423.35000000003</v>
      </c>
      <c r="AF64" s="63">
        <f t="shared" si="45"/>
        <v>-256323.35000000003</v>
      </c>
      <c r="AG64" s="63">
        <f t="shared" si="31"/>
        <v>-3241501.0333333337</v>
      </c>
    </row>
    <row r="65" spans="1:33" s="102" customFormat="1">
      <c r="A65" s="64">
        <v>9690</v>
      </c>
      <c r="B65" s="65" t="s">
        <v>123</v>
      </c>
      <c r="C65" s="66" t="e">
        <f t="shared" ref="C65:E65" si="46">C64/C10</f>
        <v>#DIV/0!</v>
      </c>
      <c r="D65" s="66" t="e">
        <f t="shared" si="46"/>
        <v>#DIV/0!</v>
      </c>
      <c r="E65" s="66" t="e">
        <f t="shared" si="46"/>
        <v>#DIV/0!</v>
      </c>
      <c r="G65" s="66" t="e">
        <f t="shared" ref="G65:S65" si="47">G64/G10</f>
        <v>#DIV/0!</v>
      </c>
      <c r="H65" s="66" t="e">
        <f t="shared" si="47"/>
        <v>#DIV/0!</v>
      </c>
      <c r="I65" s="66" t="e">
        <f t="shared" si="47"/>
        <v>#DIV/0!</v>
      </c>
      <c r="J65" s="66" t="e">
        <f t="shared" si="47"/>
        <v>#DIV/0!</v>
      </c>
      <c r="K65" s="66" t="e">
        <f t="shared" si="47"/>
        <v>#DIV/0!</v>
      </c>
      <c r="L65" s="66" t="e">
        <f t="shared" si="47"/>
        <v>#DIV/0!</v>
      </c>
      <c r="M65" s="66" t="e">
        <f t="shared" si="47"/>
        <v>#DIV/0!</v>
      </c>
      <c r="N65" s="66" t="e">
        <f t="shared" si="47"/>
        <v>#DIV/0!</v>
      </c>
      <c r="O65" s="66" t="e">
        <f t="shared" si="47"/>
        <v>#DIV/0!</v>
      </c>
      <c r="P65" s="66" t="e">
        <f t="shared" si="47"/>
        <v>#DIV/0!</v>
      </c>
      <c r="Q65" s="66" t="e">
        <f t="shared" si="47"/>
        <v>#DIV/0!</v>
      </c>
      <c r="R65" s="66" t="e">
        <f t="shared" si="47"/>
        <v>#DIV/0!</v>
      </c>
      <c r="S65" s="66" t="e">
        <f t="shared" si="47"/>
        <v>#DIV/0!</v>
      </c>
      <c r="U65" s="66" t="e">
        <f t="shared" ref="U65:AG65" si="48">U64/U10</f>
        <v>#DIV/0!</v>
      </c>
      <c r="V65" s="66" t="e">
        <f t="shared" si="48"/>
        <v>#DIV/0!</v>
      </c>
      <c r="W65" s="66" t="e">
        <f t="shared" si="48"/>
        <v>#DIV/0!</v>
      </c>
      <c r="X65" s="66" t="e">
        <f t="shared" si="48"/>
        <v>#DIV/0!</v>
      </c>
      <c r="Y65" s="66" t="e">
        <f t="shared" si="48"/>
        <v>#DIV/0!</v>
      </c>
      <c r="Z65" s="66" t="e">
        <f t="shared" si="48"/>
        <v>#DIV/0!</v>
      </c>
      <c r="AA65" s="66" t="e">
        <f t="shared" si="48"/>
        <v>#DIV/0!</v>
      </c>
      <c r="AB65" s="66" t="e">
        <f t="shared" si="48"/>
        <v>#DIV/0!</v>
      </c>
      <c r="AC65" s="66" t="e">
        <f t="shared" si="48"/>
        <v>#DIV/0!</v>
      </c>
      <c r="AD65" s="66" t="e">
        <f t="shared" si="48"/>
        <v>#DIV/0!</v>
      </c>
      <c r="AE65" s="66" t="e">
        <f t="shared" si="48"/>
        <v>#DIV/0!</v>
      </c>
      <c r="AF65" s="66" t="e">
        <f t="shared" si="48"/>
        <v>#DIV/0!</v>
      </c>
      <c r="AG65" s="66" t="e">
        <f t="shared" si="48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9">C64-C66+C67</f>
        <v>0</v>
      </c>
      <c r="D68" s="72">
        <f t="shared" si="49"/>
        <v>0</v>
      </c>
      <c r="E68" s="72">
        <f t="shared" si="49"/>
        <v>0</v>
      </c>
      <c r="G68" s="72">
        <f t="shared" ref="G68:R68" si="50">G64-G66+G67</f>
        <v>0</v>
      </c>
      <c r="H68" s="72">
        <f t="shared" si="50"/>
        <v>0</v>
      </c>
      <c r="I68" s="72">
        <f t="shared" si="50"/>
        <v>0</v>
      </c>
      <c r="J68" s="72">
        <f t="shared" si="50"/>
        <v>0</v>
      </c>
      <c r="K68" s="72">
        <f t="shared" si="50"/>
        <v>0</v>
      </c>
      <c r="L68" s="72">
        <f t="shared" si="50"/>
        <v>0</v>
      </c>
      <c r="M68" s="72">
        <f t="shared" si="50"/>
        <v>0</v>
      </c>
      <c r="N68" s="72">
        <f t="shared" si="50"/>
        <v>0</v>
      </c>
      <c r="O68" s="72">
        <f t="shared" si="50"/>
        <v>0</v>
      </c>
      <c r="P68" s="72">
        <f t="shared" si="50"/>
        <v>0</v>
      </c>
      <c r="Q68" s="72">
        <f t="shared" si="50"/>
        <v>0</v>
      </c>
      <c r="R68" s="72">
        <f t="shared" si="50"/>
        <v>0</v>
      </c>
      <c r="S68" s="72">
        <f>SUM(G68:R68)</f>
        <v>0</v>
      </c>
      <c r="T68" s="96"/>
      <c r="U68" s="72">
        <f t="shared" ref="U68:AF68" si="51">U64-U66+U67</f>
        <v>-390027.51666666672</v>
      </c>
      <c r="V68" s="72">
        <f t="shared" si="51"/>
        <v>-253540.01666666669</v>
      </c>
      <c r="W68" s="72">
        <f t="shared" si="51"/>
        <v>-256815.01666666669</v>
      </c>
      <c r="X68" s="72">
        <f t="shared" si="51"/>
        <v>-253540.01666666669</v>
      </c>
      <c r="Y68" s="72">
        <f t="shared" si="51"/>
        <v>-275815.01666666672</v>
      </c>
      <c r="Z68" s="72">
        <f t="shared" si="51"/>
        <v>-253815.01666666669</v>
      </c>
      <c r="AA68" s="72">
        <f t="shared" si="51"/>
        <v>-253540.01666666669</v>
      </c>
      <c r="AB68" s="72">
        <f t="shared" si="51"/>
        <v>-254365.01666666669</v>
      </c>
      <c r="AC68" s="72">
        <f t="shared" si="51"/>
        <v>-256598.35000000003</v>
      </c>
      <c r="AD68" s="72">
        <f t="shared" si="51"/>
        <v>-257698.35000000003</v>
      </c>
      <c r="AE68" s="72">
        <f t="shared" si="51"/>
        <v>-279423.35000000003</v>
      </c>
      <c r="AF68" s="72">
        <f t="shared" si="51"/>
        <v>-256323.35000000003</v>
      </c>
      <c r="AG68" s="72">
        <f>SUM(U68:AF68)</f>
        <v>-3241501.0333333337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2">C68-C69</f>
        <v>0</v>
      </c>
      <c r="D70" s="78">
        <f t="shared" si="52"/>
        <v>0</v>
      </c>
      <c r="E70" s="78">
        <f t="shared" si="52"/>
        <v>0</v>
      </c>
      <c r="G70" s="78">
        <f t="shared" ref="G70:R70" si="53">G68-G69</f>
        <v>0</v>
      </c>
      <c r="H70" s="78">
        <f t="shared" si="53"/>
        <v>0</v>
      </c>
      <c r="I70" s="78">
        <f t="shared" si="53"/>
        <v>0</v>
      </c>
      <c r="J70" s="78">
        <f t="shared" si="53"/>
        <v>0</v>
      </c>
      <c r="K70" s="78">
        <f t="shared" si="53"/>
        <v>0</v>
      </c>
      <c r="L70" s="78">
        <f t="shared" si="53"/>
        <v>0</v>
      </c>
      <c r="M70" s="78">
        <f t="shared" si="53"/>
        <v>0</v>
      </c>
      <c r="N70" s="78">
        <f t="shared" si="53"/>
        <v>0</v>
      </c>
      <c r="O70" s="78">
        <f t="shared" si="53"/>
        <v>0</v>
      </c>
      <c r="P70" s="78">
        <f t="shared" si="53"/>
        <v>0</v>
      </c>
      <c r="Q70" s="78">
        <f t="shared" si="53"/>
        <v>0</v>
      </c>
      <c r="R70" s="78">
        <f t="shared" si="53"/>
        <v>0</v>
      </c>
      <c r="S70" s="78">
        <f>SUM(G70:R70)</f>
        <v>0</v>
      </c>
      <c r="T70" s="96"/>
      <c r="U70" s="78">
        <f t="shared" ref="U70:AF70" si="54">U68-U69</f>
        <v>-390027.51666666672</v>
      </c>
      <c r="V70" s="78">
        <f t="shared" si="54"/>
        <v>-253540.01666666669</v>
      </c>
      <c r="W70" s="78">
        <f t="shared" si="54"/>
        <v>-256815.01666666669</v>
      </c>
      <c r="X70" s="78">
        <f t="shared" si="54"/>
        <v>-253540.01666666669</v>
      </c>
      <c r="Y70" s="78">
        <f t="shared" si="54"/>
        <v>-275815.01666666672</v>
      </c>
      <c r="Z70" s="78">
        <f t="shared" si="54"/>
        <v>-253815.01666666669</v>
      </c>
      <c r="AA70" s="78">
        <f t="shared" si="54"/>
        <v>-253540.01666666669</v>
      </c>
      <c r="AB70" s="78">
        <f t="shared" si="54"/>
        <v>-254365.01666666669</v>
      </c>
      <c r="AC70" s="78">
        <f t="shared" si="54"/>
        <v>-256598.35000000003</v>
      </c>
      <c r="AD70" s="78">
        <f t="shared" si="54"/>
        <v>-257698.35000000003</v>
      </c>
      <c r="AE70" s="78">
        <f t="shared" si="54"/>
        <v>-279423.35000000003</v>
      </c>
      <c r="AF70" s="78">
        <f t="shared" si="54"/>
        <v>-256323.35000000003</v>
      </c>
      <c r="AG70" s="78">
        <f>SUM(U70:AF70)</f>
        <v>-3241501.0333333337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5">C70/C10</f>
        <v>#DIV/0!</v>
      </c>
      <c r="D71" s="80" t="e">
        <f t="shared" si="55"/>
        <v>#DIV/0!</v>
      </c>
      <c r="E71" s="80" t="e">
        <f t="shared" si="55"/>
        <v>#DIV/0!</v>
      </c>
      <c r="G71" s="80" t="e">
        <f t="shared" ref="G71:S71" si="56">G70/G10</f>
        <v>#DIV/0!</v>
      </c>
      <c r="H71" s="80" t="e">
        <f t="shared" si="56"/>
        <v>#DIV/0!</v>
      </c>
      <c r="I71" s="80" t="e">
        <f t="shared" si="56"/>
        <v>#DIV/0!</v>
      </c>
      <c r="J71" s="80" t="e">
        <f t="shared" si="56"/>
        <v>#DIV/0!</v>
      </c>
      <c r="K71" s="80" t="e">
        <f t="shared" si="56"/>
        <v>#DIV/0!</v>
      </c>
      <c r="L71" s="80" t="e">
        <f t="shared" si="56"/>
        <v>#DIV/0!</v>
      </c>
      <c r="M71" s="80" t="e">
        <f t="shared" si="56"/>
        <v>#DIV/0!</v>
      </c>
      <c r="N71" s="80" t="e">
        <f t="shared" si="56"/>
        <v>#DIV/0!</v>
      </c>
      <c r="O71" s="80" t="e">
        <f t="shared" si="56"/>
        <v>#DIV/0!</v>
      </c>
      <c r="P71" s="80" t="e">
        <f t="shared" si="56"/>
        <v>#DIV/0!</v>
      </c>
      <c r="Q71" s="80" t="e">
        <f t="shared" si="56"/>
        <v>#DIV/0!</v>
      </c>
      <c r="R71" s="80" t="e">
        <f t="shared" si="56"/>
        <v>#DIV/0!</v>
      </c>
      <c r="S71" s="80" t="e">
        <f t="shared" si="56"/>
        <v>#DIV/0!</v>
      </c>
      <c r="U71" s="80" t="e">
        <f t="shared" ref="U71:AG71" si="57">U70/U10</f>
        <v>#DIV/0!</v>
      </c>
      <c r="V71" s="80" t="e">
        <f t="shared" si="57"/>
        <v>#DIV/0!</v>
      </c>
      <c r="W71" s="80" t="e">
        <f t="shared" si="57"/>
        <v>#DIV/0!</v>
      </c>
      <c r="X71" s="80" t="e">
        <f t="shared" si="57"/>
        <v>#DIV/0!</v>
      </c>
      <c r="Y71" s="80" t="e">
        <f t="shared" si="57"/>
        <v>#DIV/0!</v>
      </c>
      <c r="Z71" s="80" t="e">
        <f t="shared" si="57"/>
        <v>#DIV/0!</v>
      </c>
      <c r="AA71" s="80" t="e">
        <f t="shared" si="57"/>
        <v>#DIV/0!</v>
      </c>
      <c r="AB71" s="80" t="e">
        <f t="shared" si="57"/>
        <v>#DIV/0!</v>
      </c>
      <c r="AC71" s="80" t="e">
        <f t="shared" si="57"/>
        <v>#DIV/0!</v>
      </c>
      <c r="AD71" s="80" t="e">
        <f t="shared" si="57"/>
        <v>#DIV/0!</v>
      </c>
      <c r="AE71" s="80" t="e">
        <f t="shared" si="57"/>
        <v>#DIV/0!</v>
      </c>
      <c r="AF71" s="80" t="e">
        <f t="shared" si="57"/>
        <v>#DIV/0!</v>
      </c>
      <c r="AG71" s="80" t="e">
        <f t="shared" si="57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8">C64+C73</f>
        <v>0</v>
      </c>
      <c r="D74" s="84">
        <f t="shared" si="58"/>
        <v>0</v>
      </c>
      <c r="E74" s="84">
        <f t="shared" si="58"/>
        <v>0</v>
      </c>
      <c r="G74" s="84">
        <f t="shared" ref="G74:R74" si="59">G64+G73</f>
        <v>0</v>
      </c>
      <c r="H74" s="84">
        <f t="shared" si="59"/>
        <v>0</v>
      </c>
      <c r="I74" s="84">
        <f t="shared" si="59"/>
        <v>0</v>
      </c>
      <c r="J74" s="84">
        <f t="shared" si="59"/>
        <v>0</v>
      </c>
      <c r="K74" s="84">
        <f t="shared" si="59"/>
        <v>0</v>
      </c>
      <c r="L74" s="84">
        <f t="shared" si="59"/>
        <v>0</v>
      </c>
      <c r="M74" s="84">
        <f t="shared" si="59"/>
        <v>0</v>
      </c>
      <c r="N74" s="84">
        <f t="shared" si="59"/>
        <v>0</v>
      </c>
      <c r="O74" s="84">
        <f t="shared" si="59"/>
        <v>0</v>
      </c>
      <c r="P74" s="84">
        <f t="shared" si="59"/>
        <v>0</v>
      </c>
      <c r="Q74" s="84">
        <f t="shared" si="59"/>
        <v>0</v>
      </c>
      <c r="R74" s="84">
        <f t="shared" si="59"/>
        <v>0</v>
      </c>
      <c r="S74" s="84">
        <f>SUM(G74:R74)</f>
        <v>0</v>
      </c>
      <c r="U74" s="84">
        <f t="shared" ref="U74:AF74" si="60">U64+U73</f>
        <v>-390027.51666666672</v>
      </c>
      <c r="V74" s="84">
        <f t="shared" si="60"/>
        <v>-253540.01666666669</v>
      </c>
      <c r="W74" s="84">
        <f t="shared" si="60"/>
        <v>-256815.01666666669</v>
      </c>
      <c r="X74" s="84">
        <f t="shared" si="60"/>
        <v>-253540.01666666669</v>
      </c>
      <c r="Y74" s="84">
        <f t="shared" si="60"/>
        <v>-275815.01666666672</v>
      </c>
      <c r="Z74" s="84">
        <f t="shared" si="60"/>
        <v>-253815.01666666669</v>
      </c>
      <c r="AA74" s="84">
        <f t="shared" si="60"/>
        <v>-253540.01666666669</v>
      </c>
      <c r="AB74" s="84">
        <f t="shared" si="60"/>
        <v>-254365.01666666669</v>
      </c>
      <c r="AC74" s="84">
        <f t="shared" si="60"/>
        <v>-256598.35000000003</v>
      </c>
      <c r="AD74" s="84">
        <f t="shared" si="60"/>
        <v>-257698.35000000003</v>
      </c>
      <c r="AE74" s="84">
        <f t="shared" si="60"/>
        <v>-279423.35000000003</v>
      </c>
      <c r="AF74" s="84">
        <f t="shared" si="60"/>
        <v>-256323.35000000003</v>
      </c>
      <c r="AG74" s="84">
        <f>SUM(U74:AF74)</f>
        <v>-3241501.0333333337</v>
      </c>
    </row>
    <row r="75" spans="1:33" s="110" customFormat="1">
      <c r="A75" s="85">
        <v>9790</v>
      </c>
      <c r="B75" s="86" t="s">
        <v>129</v>
      </c>
      <c r="C75" s="56" t="e">
        <f t="shared" ref="C75:E75" si="61">C74/C10</f>
        <v>#DIV/0!</v>
      </c>
      <c r="D75" s="56" t="e">
        <f t="shared" si="61"/>
        <v>#DIV/0!</v>
      </c>
      <c r="E75" s="56" t="e">
        <f t="shared" si="61"/>
        <v>#DIV/0!</v>
      </c>
      <c r="G75" s="56" t="e">
        <f t="shared" ref="G75:S75" si="62">G74/G10</f>
        <v>#DIV/0!</v>
      </c>
      <c r="H75" s="56" t="e">
        <f t="shared" si="62"/>
        <v>#DIV/0!</v>
      </c>
      <c r="I75" s="56" t="e">
        <f t="shared" si="62"/>
        <v>#DIV/0!</v>
      </c>
      <c r="J75" s="56" t="e">
        <f t="shared" si="62"/>
        <v>#DIV/0!</v>
      </c>
      <c r="K75" s="56" t="e">
        <f t="shared" si="62"/>
        <v>#DIV/0!</v>
      </c>
      <c r="L75" s="56" t="e">
        <f t="shared" si="62"/>
        <v>#DIV/0!</v>
      </c>
      <c r="M75" s="56" t="e">
        <f t="shared" si="62"/>
        <v>#DIV/0!</v>
      </c>
      <c r="N75" s="56" t="e">
        <f t="shared" si="62"/>
        <v>#DIV/0!</v>
      </c>
      <c r="O75" s="56" t="e">
        <f t="shared" si="62"/>
        <v>#DIV/0!</v>
      </c>
      <c r="P75" s="56" t="e">
        <f t="shared" si="62"/>
        <v>#DIV/0!</v>
      </c>
      <c r="Q75" s="56" t="e">
        <f t="shared" si="62"/>
        <v>#DIV/0!</v>
      </c>
      <c r="R75" s="56" t="e">
        <f t="shared" si="62"/>
        <v>#DIV/0!</v>
      </c>
      <c r="S75" s="56" t="e">
        <f t="shared" si="62"/>
        <v>#DIV/0!</v>
      </c>
      <c r="T75" s="109"/>
      <c r="U75" s="56" t="e">
        <f t="shared" ref="U75:AG75" si="63">U74/U10</f>
        <v>#DIV/0!</v>
      </c>
      <c r="V75" s="56" t="e">
        <f t="shared" si="63"/>
        <v>#DIV/0!</v>
      </c>
      <c r="W75" s="56" t="e">
        <f t="shared" si="63"/>
        <v>#DIV/0!</v>
      </c>
      <c r="X75" s="56" t="e">
        <f t="shared" si="63"/>
        <v>#DIV/0!</v>
      </c>
      <c r="Y75" s="56" t="e">
        <f t="shared" si="63"/>
        <v>#DIV/0!</v>
      </c>
      <c r="Z75" s="56" t="e">
        <f t="shared" si="63"/>
        <v>#DIV/0!</v>
      </c>
      <c r="AA75" s="56" t="e">
        <f t="shared" si="63"/>
        <v>#DIV/0!</v>
      </c>
      <c r="AB75" s="56" t="e">
        <f t="shared" si="63"/>
        <v>#DIV/0!</v>
      </c>
      <c r="AC75" s="56" t="e">
        <f t="shared" si="63"/>
        <v>#DIV/0!</v>
      </c>
      <c r="AD75" s="56" t="e">
        <f t="shared" si="63"/>
        <v>#DIV/0!</v>
      </c>
      <c r="AE75" s="56" t="e">
        <f t="shared" si="63"/>
        <v>#DIV/0!</v>
      </c>
      <c r="AF75" s="56" t="e">
        <f t="shared" si="63"/>
        <v>#DIV/0!</v>
      </c>
      <c r="AG75" s="56" t="e">
        <f t="shared" si="63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V33" activePane="bottomRight" state="frozen"/>
      <selection activeCell="W50" sqref="W50"/>
      <selection pane="topRight" activeCell="W50" sqref="W50"/>
      <selection pane="bottomLeft" activeCell="W50" sqref="W50"/>
      <selection pane="bottomRight" activeCell="B34" sqref="B34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customWidth="1" outlineLevel="1"/>
    <col min="13" max="18" width="13.28515625" style="45" customWidth="1" outlineLevel="1"/>
    <col min="19" max="19" width="17.85546875" style="45" customWidth="1"/>
    <col min="20" max="20" width="5.140625" style="45" customWidth="1"/>
    <col min="21" max="32" width="11.140625" style="45" customWidth="1" outlineLevel="1"/>
    <col min="33" max="33" width="11.140625" style="45" customWidth="1"/>
    <col min="34" max="16384" width="10.85546875" style="45"/>
  </cols>
  <sheetData>
    <row r="1" spans="1:34" s="88" customFormat="1">
      <c r="A1" s="36"/>
      <c r="B1" s="37" t="s">
        <v>77</v>
      </c>
    </row>
    <row r="2" spans="1:34" s="90" customFormat="1">
      <c r="A2" s="231">
        <v>6800</v>
      </c>
      <c r="B2" s="232" t="s">
        <v>135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212">
        <v>2017</v>
      </c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  <c r="AH2" s="212">
        <v>2017</v>
      </c>
    </row>
    <row r="3" spans="1:34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158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  <c r="AH3" s="158"/>
    </row>
    <row r="4" spans="1:34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158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  <c r="AH4" s="158"/>
    </row>
    <row r="5" spans="1:34" s="96" customFormat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T5" s="171"/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  <c r="AH5" s="171"/>
    </row>
    <row r="6" spans="1:34" s="96" customFormat="1">
      <c r="A6" s="39">
        <v>1200</v>
      </c>
      <c r="B6" s="40" t="s">
        <v>81</v>
      </c>
      <c r="C6" s="41">
        <f>Služby!C15</f>
        <v>0</v>
      </c>
      <c r="D6" s="41">
        <f>Služby!D15</f>
        <v>0</v>
      </c>
      <c r="E6" s="41">
        <f>Služby!E15</f>
        <v>0</v>
      </c>
      <c r="G6" s="41">
        <f>Služby!G15</f>
        <v>289</v>
      </c>
      <c r="H6" s="41">
        <f>Služby!H15</f>
        <v>3534.136</v>
      </c>
      <c r="I6" s="41">
        <f>Služby!I15</f>
        <v>81362.111999999994</v>
      </c>
      <c r="J6" s="41">
        <f>Služby!J15</f>
        <v>21426.46</v>
      </c>
      <c r="K6" s="41">
        <f>Služby!K15</f>
        <v>12238.723999999998</v>
      </c>
      <c r="L6" s="41">
        <f>Služby!L15</f>
        <v>40205.216</v>
      </c>
      <c r="M6" s="41">
        <f>Služby!M15</f>
        <v>164</v>
      </c>
      <c r="N6" s="41">
        <f>Služby!N15</f>
        <v>5279.6</v>
      </c>
      <c r="O6" s="41">
        <f>Služby!O15</f>
        <v>3784</v>
      </c>
      <c r="P6" s="41">
        <f>Služby!P15</f>
        <v>4105</v>
      </c>
      <c r="Q6" s="41">
        <f>Služby!Q15</f>
        <v>3000</v>
      </c>
      <c r="R6" s="41">
        <f>Služby!R15</f>
        <v>3000</v>
      </c>
      <c r="S6" s="41">
        <f t="shared" si="0"/>
        <v>178388.24799999999</v>
      </c>
      <c r="T6" s="211"/>
      <c r="U6" s="41">
        <f>Služby!U15</f>
        <v>324.0123755237509</v>
      </c>
      <c r="V6" s="41">
        <f>Služby!V15</f>
        <v>3962.2968885259756</v>
      </c>
      <c r="W6" s="41">
        <f>Služby!W15</f>
        <v>91219.139054496467</v>
      </c>
      <c r="X6" s="41">
        <f>Služby!X15</f>
        <v>24022.277521330892</v>
      </c>
      <c r="Y6" s="41">
        <f>Služby!Y15</f>
        <v>13721.446493493226</v>
      </c>
      <c r="Z6" s="41">
        <f>Služby!Z15</f>
        <v>45076.081469223245</v>
      </c>
      <c r="AA6" s="41">
        <f>Služby!AA15</f>
        <v>183.86861448406626</v>
      </c>
      <c r="AB6" s="41">
        <f>Služby!AB15</f>
        <v>5919.2240062809533</v>
      </c>
      <c r="AC6" s="41">
        <f>Služby!AC15</f>
        <v>4242.4319341933333</v>
      </c>
      <c r="AD6" s="41">
        <f>Služby!AD15</f>
        <v>4602.3211125432435</v>
      </c>
      <c r="AE6" s="41">
        <f>Služby!AE15</f>
        <v>3363.4502649524316</v>
      </c>
      <c r="AF6" s="41">
        <f>Služby!AF15</f>
        <v>3363.4502649524316</v>
      </c>
      <c r="AG6" s="41">
        <f t="shared" si="1"/>
        <v>200000.00000000003</v>
      </c>
      <c r="AH6" s="211"/>
    </row>
    <row r="7" spans="1:34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T7" s="211" t="e">
        <f>SUM(G7:O7)/SUM($G$5:$O$5)</f>
        <v>#DIV/0!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  <c r="AH7" s="211" t="e">
        <f>SUM(U7:AC7)/SUM($G$5:$O$5)</f>
        <v>#DIV/0!</v>
      </c>
    </row>
    <row r="8" spans="1:34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4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4" s="96" customFormat="1" collapsed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289</v>
      </c>
      <c r="H10" s="107">
        <f t="shared" si="3"/>
        <v>3534.136</v>
      </c>
      <c r="I10" s="107">
        <f t="shared" si="3"/>
        <v>81362.111999999994</v>
      </c>
      <c r="J10" s="107">
        <f t="shared" si="3"/>
        <v>21426.46</v>
      </c>
      <c r="K10" s="107">
        <f t="shared" si="3"/>
        <v>12238.723999999998</v>
      </c>
      <c r="L10" s="107">
        <f t="shared" si="3"/>
        <v>40205.216</v>
      </c>
      <c r="M10" s="107">
        <f t="shared" si="3"/>
        <v>164</v>
      </c>
      <c r="N10" s="107">
        <f t="shared" si="3"/>
        <v>5279.6</v>
      </c>
      <c r="O10" s="107">
        <f t="shared" si="3"/>
        <v>3784</v>
      </c>
      <c r="P10" s="107">
        <f t="shared" si="3"/>
        <v>4105</v>
      </c>
      <c r="Q10" s="107">
        <f t="shared" si="3"/>
        <v>3000</v>
      </c>
      <c r="R10" s="107">
        <f t="shared" si="3"/>
        <v>3000</v>
      </c>
      <c r="S10" s="107">
        <f t="shared" si="0"/>
        <v>178388.24799999999</v>
      </c>
      <c r="U10" s="107">
        <f t="shared" ref="U10:AF10" si="4">SUM(U5:U9)</f>
        <v>324.0123755237509</v>
      </c>
      <c r="V10" s="107">
        <f t="shared" si="4"/>
        <v>3962.2968885259756</v>
      </c>
      <c r="W10" s="107">
        <f t="shared" si="4"/>
        <v>91219.139054496467</v>
      </c>
      <c r="X10" s="107">
        <f t="shared" si="4"/>
        <v>24022.277521330892</v>
      </c>
      <c r="Y10" s="107">
        <f t="shared" si="4"/>
        <v>13721.446493493226</v>
      </c>
      <c r="Z10" s="107">
        <f t="shared" si="4"/>
        <v>45076.081469223245</v>
      </c>
      <c r="AA10" s="107">
        <f t="shared" si="4"/>
        <v>183.86861448406626</v>
      </c>
      <c r="AB10" s="107">
        <f t="shared" si="4"/>
        <v>5919.2240062809533</v>
      </c>
      <c r="AC10" s="107">
        <f t="shared" si="4"/>
        <v>4242.4319341933333</v>
      </c>
      <c r="AD10" s="107">
        <f t="shared" si="4"/>
        <v>4602.3211125432435</v>
      </c>
      <c r="AE10" s="107">
        <f t="shared" si="4"/>
        <v>3363.4502649524316</v>
      </c>
      <c r="AF10" s="107">
        <f t="shared" si="4"/>
        <v>3363.4502649524316</v>
      </c>
      <c r="AG10" s="107">
        <f t="shared" si="1"/>
        <v>200000.00000000003</v>
      </c>
    </row>
    <row r="11" spans="1:34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4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4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4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4" s="96" customFormat="1" ht="26.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T15" s="211">
        <f>SUM(G15:O15)/SUM($G$10:$O$10)</f>
        <v>0</v>
      </c>
      <c r="U15" s="41">
        <f>U6*$AH15</f>
        <v>6.4802475104750181</v>
      </c>
      <c r="V15" s="41">
        <f t="shared" ref="V15:AF15" si="8">V6*$AH15</f>
        <v>79.245937770519518</v>
      </c>
      <c r="W15" s="41">
        <f t="shared" si="8"/>
        <v>1824.3827810899293</v>
      </c>
      <c r="X15" s="41">
        <f t="shared" si="8"/>
        <v>480.44555042661784</v>
      </c>
      <c r="Y15" s="41">
        <f t="shared" si="8"/>
        <v>274.42892986986453</v>
      </c>
      <c r="Z15" s="41">
        <f t="shared" si="8"/>
        <v>901.52162938446497</v>
      </c>
      <c r="AA15" s="41">
        <f t="shared" si="8"/>
        <v>3.6773722896813252</v>
      </c>
      <c r="AB15" s="41">
        <f t="shared" si="8"/>
        <v>118.38448012561906</v>
      </c>
      <c r="AC15" s="41">
        <f t="shared" si="8"/>
        <v>84.848638683866668</v>
      </c>
      <c r="AD15" s="41">
        <f t="shared" si="8"/>
        <v>92.046422250864879</v>
      </c>
      <c r="AE15" s="41">
        <f t="shared" si="8"/>
        <v>67.269005299048629</v>
      </c>
      <c r="AF15" s="41">
        <f t="shared" si="8"/>
        <v>67.269005299048629</v>
      </c>
      <c r="AG15" s="41">
        <f t="shared" si="1"/>
        <v>4000.0000000000009</v>
      </c>
      <c r="AH15" s="211">
        <v>0.02</v>
      </c>
    </row>
    <row r="16" spans="1:34" s="96" customFormat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T16" s="211">
        <f>SUM(G16:O16)/SUM($G$10:$O$10)</f>
        <v>0</v>
      </c>
      <c r="U16" s="234">
        <f>VLOOKUP($A$2,osobni!$F$31:$EQ$44,osobni!EE$3,FALSE)</f>
        <v>0</v>
      </c>
      <c r="V16" s="234">
        <f>VLOOKUP($A$2,osobni!$F$31:$EQ$44,osobni!EF$3,FALSE)</f>
        <v>0</v>
      </c>
      <c r="W16" s="234">
        <f>VLOOKUP($A$2,osobni!$F$31:$EQ$44,osobni!EG$3,FALSE)</f>
        <v>0</v>
      </c>
      <c r="X16" s="234">
        <f>VLOOKUP($A$2,osobni!$F$31:$EQ$44,osobni!EH$3,FALSE)</f>
        <v>0</v>
      </c>
      <c r="Y16" s="234">
        <f>VLOOKUP($A$2,osobni!$F$31:$EQ$44,osobni!EI$3,FALSE)</f>
        <v>0</v>
      </c>
      <c r="Z16" s="234">
        <f>VLOOKUP($A$2,osobni!$F$31:$EQ$44,osobni!EJ$3,FALSE)</f>
        <v>0</v>
      </c>
      <c r="AA16" s="234">
        <f>VLOOKUP($A$2,osobni!$F$31:$EQ$44,osobni!EK$3,FALSE)</f>
        <v>0</v>
      </c>
      <c r="AB16" s="234">
        <f>VLOOKUP($A$2,osobni!$F$31:$EQ$44,osobni!EL$3,FALSE)</f>
        <v>0</v>
      </c>
      <c r="AC16" s="234">
        <f>VLOOKUP($A$2,osobni!$F$31:$EQ$44,osobni!EM$3,FALSE)</f>
        <v>0</v>
      </c>
      <c r="AD16" s="234">
        <f>VLOOKUP($A$2,osobni!$F$31:$EQ$44,osobni!EN$3,FALSE)</f>
        <v>0</v>
      </c>
      <c r="AE16" s="234">
        <f>VLOOKUP($A$2,osobni!$F$31:$EQ$44,osobni!EO$3,FALSE)</f>
        <v>0</v>
      </c>
      <c r="AF16" s="234">
        <f>VLOOKUP($A$2,osobni!$F$31:$EQ$44,osobni!EP$3,FALSE)</f>
        <v>0</v>
      </c>
      <c r="AG16" s="41">
        <f t="shared" si="1"/>
        <v>0</v>
      </c>
      <c r="AH16" s="211">
        <f>SUM(U16:AC16)/SUM($G$10:$O$10)</f>
        <v>0</v>
      </c>
    </row>
    <row r="17" spans="1:43" s="96" customFormat="1" outlineLevel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T17" s="211">
        <f>SUM(G17:O17)/SUM($G$10:$O$10)</f>
        <v>0</v>
      </c>
      <c r="U17" s="44">
        <f>U6*$AH17</f>
        <v>1.6200618776187545</v>
      </c>
      <c r="V17" s="44">
        <f t="shared" ref="V17:AF17" si="9">V6*$AH17</f>
        <v>19.81148444262988</v>
      </c>
      <c r="W17" s="44">
        <f t="shared" si="9"/>
        <v>456.09569527248232</v>
      </c>
      <c r="X17" s="44">
        <f t="shared" si="9"/>
        <v>120.11138760665446</v>
      </c>
      <c r="Y17" s="44">
        <f t="shared" si="9"/>
        <v>68.607232467466133</v>
      </c>
      <c r="Z17" s="44">
        <f t="shared" si="9"/>
        <v>225.38040734611624</v>
      </c>
      <c r="AA17" s="44">
        <f t="shared" si="9"/>
        <v>0.91934307242033131</v>
      </c>
      <c r="AB17" s="44">
        <f t="shared" si="9"/>
        <v>29.596120031404766</v>
      </c>
      <c r="AC17" s="44">
        <f t="shared" si="9"/>
        <v>21.212159670966667</v>
      </c>
      <c r="AD17" s="44">
        <f t="shared" si="9"/>
        <v>23.01160556271622</v>
      </c>
      <c r="AE17" s="44">
        <f t="shared" si="9"/>
        <v>16.817251324762157</v>
      </c>
      <c r="AF17" s="44">
        <f t="shared" si="9"/>
        <v>16.817251324762157</v>
      </c>
      <c r="AG17" s="44">
        <f t="shared" si="1"/>
        <v>1000.0000000000002</v>
      </c>
      <c r="AH17" s="215">
        <v>5.0000000000000001E-3</v>
      </c>
    </row>
    <row r="18" spans="1:43" s="96" customFormat="1" outlineLevel="1">
      <c r="A18" s="45">
        <v>9120</v>
      </c>
      <c r="B18" s="46" t="s">
        <v>92</v>
      </c>
      <c r="C18" s="107">
        <f t="shared" ref="C18:E18" si="10">SUM(C15:C17)</f>
        <v>0</v>
      </c>
      <c r="D18" s="107">
        <f t="shared" si="10"/>
        <v>0</v>
      </c>
      <c r="E18" s="107">
        <f t="shared" si="10"/>
        <v>0</v>
      </c>
      <c r="G18" s="107">
        <f t="shared" ref="G18:R18" si="11">SUM(G15:G17)</f>
        <v>0</v>
      </c>
      <c r="H18" s="107">
        <f t="shared" si="11"/>
        <v>0</v>
      </c>
      <c r="I18" s="107">
        <f t="shared" si="11"/>
        <v>0</v>
      </c>
      <c r="J18" s="107">
        <f t="shared" si="11"/>
        <v>0</v>
      </c>
      <c r="K18" s="107">
        <f t="shared" si="11"/>
        <v>0</v>
      </c>
      <c r="L18" s="107">
        <f t="shared" si="11"/>
        <v>0</v>
      </c>
      <c r="M18" s="107">
        <f t="shared" si="11"/>
        <v>0</v>
      </c>
      <c r="N18" s="107">
        <f t="shared" si="11"/>
        <v>0</v>
      </c>
      <c r="O18" s="107">
        <f t="shared" si="11"/>
        <v>0</v>
      </c>
      <c r="P18" s="107">
        <f t="shared" si="11"/>
        <v>0</v>
      </c>
      <c r="Q18" s="107">
        <f t="shared" si="11"/>
        <v>0</v>
      </c>
      <c r="R18" s="107">
        <f t="shared" si="11"/>
        <v>0</v>
      </c>
      <c r="S18" s="107">
        <f t="shared" si="0"/>
        <v>0</v>
      </c>
      <c r="U18" s="107">
        <f t="shared" ref="U18:AF18" si="12">SUM(U15:U17)</f>
        <v>8.1003093880937733</v>
      </c>
      <c r="V18" s="107">
        <f t="shared" si="12"/>
        <v>99.057422213149394</v>
      </c>
      <c r="W18" s="107">
        <f t="shared" si="12"/>
        <v>2280.4784763624116</v>
      </c>
      <c r="X18" s="107">
        <f t="shared" si="12"/>
        <v>600.55693803327233</v>
      </c>
      <c r="Y18" s="107">
        <f t="shared" si="12"/>
        <v>343.03616233733067</v>
      </c>
      <c r="Z18" s="107">
        <f t="shared" si="12"/>
        <v>1126.9020367305811</v>
      </c>
      <c r="AA18" s="107">
        <f t="shared" si="12"/>
        <v>4.5967153621016568</v>
      </c>
      <c r="AB18" s="107">
        <f t="shared" si="12"/>
        <v>147.98060015702384</v>
      </c>
      <c r="AC18" s="107">
        <f t="shared" si="12"/>
        <v>106.06079835483334</v>
      </c>
      <c r="AD18" s="107">
        <f t="shared" si="12"/>
        <v>115.05802781358111</v>
      </c>
      <c r="AE18" s="107">
        <f t="shared" si="12"/>
        <v>84.086256623810783</v>
      </c>
      <c r="AF18" s="107">
        <f t="shared" si="12"/>
        <v>84.086256623810783</v>
      </c>
      <c r="AG18" s="107">
        <f t="shared" si="1"/>
        <v>5000.0000000000009</v>
      </c>
    </row>
    <row r="19" spans="1:43" s="96" customFormat="1" hidden="1" outlineLevel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 outlineLevel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3">SUM(C14,C18,C19,C20)</f>
        <v>0</v>
      </c>
      <c r="D21" s="107">
        <f t="shared" si="13"/>
        <v>0</v>
      </c>
      <c r="E21" s="107">
        <f t="shared" si="13"/>
        <v>0</v>
      </c>
      <c r="G21" s="107">
        <f t="shared" ref="G21:R21" si="14">SUM(G14,G18,G19,G20)</f>
        <v>0</v>
      </c>
      <c r="H21" s="107">
        <f t="shared" si="14"/>
        <v>0</v>
      </c>
      <c r="I21" s="107">
        <f t="shared" si="14"/>
        <v>0</v>
      </c>
      <c r="J21" s="107">
        <f t="shared" si="14"/>
        <v>0</v>
      </c>
      <c r="K21" s="107">
        <f t="shared" si="14"/>
        <v>0</v>
      </c>
      <c r="L21" s="107">
        <f t="shared" si="14"/>
        <v>0</v>
      </c>
      <c r="M21" s="107">
        <f t="shared" si="14"/>
        <v>0</v>
      </c>
      <c r="N21" s="107">
        <f t="shared" si="14"/>
        <v>0</v>
      </c>
      <c r="O21" s="107">
        <f t="shared" si="14"/>
        <v>0</v>
      </c>
      <c r="P21" s="107">
        <f t="shared" si="14"/>
        <v>0</v>
      </c>
      <c r="Q21" s="107">
        <f t="shared" si="14"/>
        <v>0</v>
      </c>
      <c r="R21" s="107">
        <f t="shared" si="14"/>
        <v>0</v>
      </c>
      <c r="S21" s="107">
        <f t="shared" si="0"/>
        <v>0</v>
      </c>
      <c r="U21" s="107">
        <f t="shared" ref="U21:AF21" si="15">SUM(U14,U18,U19,U20)</f>
        <v>8.1003093880937733</v>
      </c>
      <c r="V21" s="107">
        <f t="shared" si="15"/>
        <v>99.057422213149394</v>
      </c>
      <c r="W21" s="107">
        <f t="shared" si="15"/>
        <v>2280.4784763624116</v>
      </c>
      <c r="X21" s="107">
        <f t="shared" si="15"/>
        <v>600.55693803327233</v>
      </c>
      <c r="Y21" s="107">
        <f t="shared" si="15"/>
        <v>343.03616233733067</v>
      </c>
      <c r="Z21" s="107">
        <f t="shared" si="15"/>
        <v>1126.9020367305811</v>
      </c>
      <c r="AA21" s="107">
        <f t="shared" si="15"/>
        <v>4.5967153621016568</v>
      </c>
      <c r="AB21" s="107">
        <f t="shared" si="15"/>
        <v>147.98060015702384</v>
      </c>
      <c r="AC21" s="107">
        <f t="shared" si="15"/>
        <v>106.06079835483334</v>
      </c>
      <c r="AD21" s="107">
        <f t="shared" si="15"/>
        <v>115.05802781358111</v>
      </c>
      <c r="AE21" s="107">
        <f t="shared" si="15"/>
        <v>84.086256623810783</v>
      </c>
      <c r="AF21" s="107">
        <f t="shared" si="15"/>
        <v>84.086256623810783</v>
      </c>
      <c r="AG21" s="107">
        <f t="shared" si="1"/>
        <v>5000.0000000000009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 outlineLevel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6">P5-P14</f>
        <v>0</v>
      </c>
      <c r="Q22" s="51">
        <f t="shared" si="16"/>
        <v>0</v>
      </c>
      <c r="R22" s="51">
        <f t="shared" si="16"/>
        <v>0</v>
      </c>
      <c r="S22" s="51">
        <f t="shared" si="0"/>
        <v>0</v>
      </c>
      <c r="U22" s="51">
        <f t="shared" ref="U22:AF22" si="17">U5-U14</f>
        <v>0</v>
      </c>
      <c r="V22" s="51">
        <f t="shared" si="17"/>
        <v>0</v>
      </c>
      <c r="W22" s="51">
        <f t="shared" si="17"/>
        <v>0</v>
      </c>
      <c r="X22" s="51">
        <f t="shared" si="17"/>
        <v>0</v>
      </c>
      <c r="Y22" s="51">
        <f t="shared" si="17"/>
        <v>0</v>
      </c>
      <c r="Z22" s="51">
        <f t="shared" si="17"/>
        <v>0</v>
      </c>
      <c r="AA22" s="51">
        <f t="shared" si="17"/>
        <v>0</v>
      </c>
      <c r="AB22" s="51">
        <f t="shared" si="17"/>
        <v>0</v>
      </c>
      <c r="AC22" s="51">
        <f t="shared" si="17"/>
        <v>0</v>
      </c>
      <c r="AD22" s="51">
        <f t="shared" si="17"/>
        <v>0</v>
      </c>
      <c r="AE22" s="51">
        <f t="shared" si="17"/>
        <v>0</v>
      </c>
      <c r="AF22" s="51">
        <f t="shared" si="17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 outlineLevel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8">P6-P18</f>
        <v>4105</v>
      </c>
      <c r="Q23" s="51">
        <f t="shared" si="18"/>
        <v>3000</v>
      </c>
      <c r="R23" s="51">
        <f t="shared" si="18"/>
        <v>3000</v>
      </c>
      <c r="S23" s="51">
        <f t="shared" si="0"/>
        <v>10105</v>
      </c>
      <c r="U23" s="51">
        <f t="shared" ref="U23:AF25" si="19">U6-U18</f>
        <v>315.91206613565714</v>
      </c>
      <c r="V23" s="51">
        <f t="shared" si="19"/>
        <v>3863.2394663128262</v>
      </c>
      <c r="W23" s="51">
        <f t="shared" si="19"/>
        <v>88938.660578134062</v>
      </c>
      <c r="X23" s="51">
        <f t="shared" si="19"/>
        <v>23421.720583297621</v>
      </c>
      <c r="Y23" s="51">
        <f t="shared" si="19"/>
        <v>13378.410331155896</v>
      </c>
      <c r="Z23" s="51">
        <f t="shared" si="19"/>
        <v>43949.179432492667</v>
      </c>
      <c r="AA23" s="51">
        <f t="shared" si="19"/>
        <v>179.27189912196459</v>
      </c>
      <c r="AB23" s="51">
        <f t="shared" si="19"/>
        <v>5771.2434061239292</v>
      </c>
      <c r="AC23" s="51">
        <f t="shared" si="19"/>
        <v>4136.3711358384999</v>
      </c>
      <c r="AD23" s="51">
        <f t="shared" si="19"/>
        <v>4487.2630847296623</v>
      </c>
      <c r="AE23" s="51">
        <f t="shared" si="19"/>
        <v>3279.3640083286209</v>
      </c>
      <c r="AF23" s="51">
        <f t="shared" si="19"/>
        <v>3279.3640083286209</v>
      </c>
      <c r="AG23" s="51">
        <f t="shared" si="1"/>
        <v>195000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 outlineLevel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8"/>
        <v>0</v>
      </c>
      <c r="Q24" s="51">
        <f t="shared" si="18"/>
        <v>0</v>
      </c>
      <c r="R24" s="51">
        <f t="shared" si="18"/>
        <v>0</v>
      </c>
      <c r="S24" s="51">
        <f t="shared" si="0"/>
        <v>0</v>
      </c>
      <c r="U24" s="51">
        <f t="shared" si="19"/>
        <v>0</v>
      </c>
      <c r="V24" s="51">
        <f t="shared" si="19"/>
        <v>0</v>
      </c>
      <c r="W24" s="51">
        <f t="shared" si="19"/>
        <v>0</v>
      </c>
      <c r="X24" s="51">
        <f t="shared" si="19"/>
        <v>0</v>
      </c>
      <c r="Y24" s="51">
        <f t="shared" si="19"/>
        <v>0</v>
      </c>
      <c r="Z24" s="51">
        <f t="shared" si="19"/>
        <v>0</v>
      </c>
      <c r="AA24" s="51">
        <f t="shared" si="19"/>
        <v>0</v>
      </c>
      <c r="AB24" s="51">
        <f t="shared" si="19"/>
        <v>0</v>
      </c>
      <c r="AC24" s="51">
        <f t="shared" si="19"/>
        <v>0</v>
      </c>
      <c r="AD24" s="51">
        <f t="shared" si="19"/>
        <v>0</v>
      </c>
      <c r="AE24" s="51">
        <f t="shared" si="19"/>
        <v>0</v>
      </c>
      <c r="AF24" s="51">
        <f t="shared" si="19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 outlineLevel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8"/>
        <v>0</v>
      </c>
      <c r="Q25" s="51">
        <f t="shared" si="18"/>
        <v>0</v>
      </c>
      <c r="R25" s="51">
        <f t="shared" si="18"/>
        <v>0</v>
      </c>
      <c r="S25" s="51">
        <f t="shared" si="0"/>
        <v>0</v>
      </c>
      <c r="U25" s="51">
        <f t="shared" si="19"/>
        <v>0</v>
      </c>
      <c r="V25" s="51">
        <f t="shared" si="19"/>
        <v>0</v>
      </c>
      <c r="W25" s="51">
        <f t="shared" si="19"/>
        <v>0</v>
      </c>
      <c r="X25" s="51">
        <f t="shared" si="19"/>
        <v>0</v>
      </c>
      <c r="Y25" s="51">
        <f t="shared" si="19"/>
        <v>0</v>
      </c>
      <c r="Z25" s="51">
        <f t="shared" si="19"/>
        <v>0</v>
      </c>
      <c r="AA25" s="51">
        <f t="shared" si="19"/>
        <v>0</v>
      </c>
      <c r="AB25" s="51">
        <f t="shared" si="19"/>
        <v>0</v>
      </c>
      <c r="AC25" s="51">
        <f t="shared" si="19"/>
        <v>0</v>
      </c>
      <c r="AD25" s="51">
        <f t="shared" si="19"/>
        <v>0</v>
      </c>
      <c r="AE25" s="51">
        <f t="shared" si="19"/>
        <v>0</v>
      </c>
      <c r="AF25" s="51">
        <f t="shared" si="19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 outlineLevel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20">Q9</f>
        <v>0</v>
      </c>
      <c r="R26" s="51">
        <f t="shared" si="20"/>
        <v>0</v>
      </c>
      <c r="S26" s="51">
        <f t="shared" si="20"/>
        <v>0</v>
      </c>
      <c r="U26" s="51">
        <f t="shared" ref="U26:AF26" si="21">U9</f>
        <v>0</v>
      </c>
      <c r="V26" s="51">
        <f t="shared" si="21"/>
        <v>0</v>
      </c>
      <c r="W26" s="51">
        <f t="shared" si="21"/>
        <v>0</v>
      </c>
      <c r="X26" s="51">
        <f t="shared" si="21"/>
        <v>0</v>
      </c>
      <c r="Y26" s="51">
        <f t="shared" si="21"/>
        <v>0</v>
      </c>
      <c r="Z26" s="51">
        <f t="shared" si="21"/>
        <v>0</v>
      </c>
      <c r="AA26" s="51">
        <f t="shared" si="21"/>
        <v>0</v>
      </c>
      <c r="AB26" s="51">
        <f t="shared" si="21"/>
        <v>0</v>
      </c>
      <c r="AC26" s="51">
        <f t="shared" si="21"/>
        <v>0</v>
      </c>
      <c r="AD26" s="51">
        <f t="shared" si="21"/>
        <v>0</v>
      </c>
      <c r="AE26" s="51">
        <f t="shared" si="21"/>
        <v>0</v>
      </c>
      <c r="AF26" s="51">
        <f t="shared" si="21"/>
        <v>0</v>
      </c>
      <c r="AG26" s="51">
        <f t="shared" ref="AG26" si="22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t="30.95" customHeight="1" collapsed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f t="shared" ref="G27:L27" si="23">G10-G21</f>
        <v>289</v>
      </c>
      <c r="H27" s="53">
        <f t="shared" si="23"/>
        <v>3534.136</v>
      </c>
      <c r="I27" s="53">
        <f t="shared" si="23"/>
        <v>81362.111999999994</v>
      </c>
      <c r="J27" s="53">
        <f t="shared" si="23"/>
        <v>21426.46</v>
      </c>
      <c r="K27" s="53">
        <f t="shared" si="23"/>
        <v>12238.723999999998</v>
      </c>
      <c r="L27" s="53">
        <f t="shared" si="23"/>
        <v>40205.216</v>
      </c>
      <c r="M27" s="53">
        <f t="shared" ref="M27:R27" si="24">M10-M21</f>
        <v>164</v>
      </c>
      <c r="N27" s="53">
        <f t="shared" si="24"/>
        <v>5279.6</v>
      </c>
      <c r="O27" s="53">
        <f t="shared" si="24"/>
        <v>3784</v>
      </c>
      <c r="P27" s="53">
        <f t="shared" si="24"/>
        <v>4105</v>
      </c>
      <c r="Q27" s="53">
        <f t="shared" si="24"/>
        <v>3000</v>
      </c>
      <c r="R27" s="53">
        <f t="shared" si="24"/>
        <v>3000</v>
      </c>
      <c r="S27" s="53">
        <f>SUM(G27:R27)</f>
        <v>178388.24799999999</v>
      </c>
      <c r="U27" s="53">
        <f t="shared" ref="U27:AF27" si="25">U10-U21</f>
        <v>315.91206613565714</v>
      </c>
      <c r="V27" s="53">
        <f t="shared" si="25"/>
        <v>3863.2394663128262</v>
      </c>
      <c r="W27" s="53">
        <f t="shared" si="25"/>
        <v>88938.660578134062</v>
      </c>
      <c r="X27" s="53">
        <f t="shared" si="25"/>
        <v>23421.720583297621</v>
      </c>
      <c r="Y27" s="53">
        <f t="shared" si="25"/>
        <v>13378.410331155896</v>
      </c>
      <c r="Z27" s="53">
        <f t="shared" si="25"/>
        <v>43949.179432492667</v>
      </c>
      <c r="AA27" s="53">
        <f t="shared" si="25"/>
        <v>179.27189912196459</v>
      </c>
      <c r="AB27" s="53">
        <f t="shared" si="25"/>
        <v>5771.2434061239292</v>
      </c>
      <c r="AC27" s="53">
        <f t="shared" si="25"/>
        <v>4136.3711358384999</v>
      </c>
      <c r="AD27" s="53">
        <f t="shared" si="25"/>
        <v>4487.2630847296623</v>
      </c>
      <c r="AE27" s="53">
        <f t="shared" si="25"/>
        <v>3279.3640083286209</v>
      </c>
      <c r="AF27" s="53">
        <f t="shared" si="25"/>
        <v>3279.3640083286209</v>
      </c>
      <c r="AG27" s="53">
        <f t="shared" si="1"/>
        <v>195000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t="26.1" hidden="1" customHeight="1" outlineLevel="1">
      <c r="A28" s="79">
        <v>9291</v>
      </c>
      <c r="B28" s="118" t="s">
        <v>97</v>
      </c>
      <c r="C28" s="119">
        <f t="shared" ref="C28:E32" si="26">IF(C5=0,0,C22/C5)</f>
        <v>0</v>
      </c>
      <c r="D28" s="119">
        <f t="shared" si="26"/>
        <v>0</v>
      </c>
      <c r="E28" s="119">
        <f t="shared" si="26"/>
        <v>0</v>
      </c>
      <c r="G28" s="119">
        <f t="shared" ref="G28:L28" si="27">IF(G5=0,0,G22/G5)</f>
        <v>0</v>
      </c>
      <c r="H28" s="119">
        <f t="shared" si="27"/>
        <v>0</v>
      </c>
      <c r="I28" s="119">
        <f t="shared" si="27"/>
        <v>0</v>
      </c>
      <c r="J28" s="119">
        <f t="shared" si="27"/>
        <v>0</v>
      </c>
      <c r="K28" s="119">
        <f t="shared" si="27"/>
        <v>0</v>
      </c>
      <c r="L28" s="119">
        <f t="shared" si="27"/>
        <v>0</v>
      </c>
      <c r="M28" s="119">
        <f t="shared" ref="M28:S32" si="28">IF(M5=0,0,M22/M5)</f>
        <v>0</v>
      </c>
      <c r="N28" s="119">
        <f t="shared" si="28"/>
        <v>0</v>
      </c>
      <c r="O28" s="119">
        <f t="shared" si="28"/>
        <v>0</v>
      </c>
      <c r="P28" s="119">
        <f t="shared" si="28"/>
        <v>0</v>
      </c>
      <c r="Q28" s="119">
        <f t="shared" si="28"/>
        <v>0</v>
      </c>
      <c r="R28" s="119">
        <f t="shared" si="28"/>
        <v>0</v>
      </c>
      <c r="S28" s="119">
        <f t="shared" si="28"/>
        <v>0</v>
      </c>
      <c r="T28" s="102"/>
      <c r="U28" s="119">
        <f t="shared" ref="U28:AG32" si="29">IF(U5=0,0,U22/U5)</f>
        <v>0</v>
      </c>
      <c r="V28" s="119">
        <f t="shared" si="29"/>
        <v>0</v>
      </c>
      <c r="W28" s="119">
        <f t="shared" si="29"/>
        <v>0</v>
      </c>
      <c r="X28" s="119">
        <f t="shared" si="29"/>
        <v>0</v>
      </c>
      <c r="Y28" s="119">
        <f t="shared" si="29"/>
        <v>0</v>
      </c>
      <c r="Z28" s="119">
        <f t="shared" si="29"/>
        <v>0</v>
      </c>
      <c r="AA28" s="119">
        <f t="shared" si="29"/>
        <v>0</v>
      </c>
      <c r="AB28" s="119">
        <f t="shared" si="29"/>
        <v>0</v>
      </c>
      <c r="AC28" s="119">
        <f t="shared" si="29"/>
        <v>0</v>
      </c>
      <c r="AD28" s="119">
        <f t="shared" si="29"/>
        <v>0</v>
      </c>
      <c r="AE28" s="119">
        <f t="shared" si="29"/>
        <v>0</v>
      </c>
      <c r="AF28" s="119">
        <f t="shared" si="29"/>
        <v>0</v>
      </c>
      <c r="AG28" s="119">
        <f t="shared" si="29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 outlineLevel="1">
      <c r="A29" s="79">
        <v>9292</v>
      </c>
      <c r="B29" s="118" t="s">
        <v>6</v>
      </c>
      <c r="C29" s="119">
        <f t="shared" si="26"/>
        <v>0</v>
      </c>
      <c r="D29" s="119">
        <f t="shared" si="26"/>
        <v>0</v>
      </c>
      <c r="E29" s="119">
        <f t="shared" si="26"/>
        <v>0</v>
      </c>
      <c r="G29" s="119">
        <f t="shared" ref="G29:L29" si="30">IF(G6=0,0,G23/G6)</f>
        <v>0</v>
      </c>
      <c r="H29" s="119">
        <f t="shared" si="30"/>
        <v>0</v>
      </c>
      <c r="I29" s="119">
        <f t="shared" si="30"/>
        <v>0</v>
      </c>
      <c r="J29" s="119">
        <f t="shared" si="30"/>
        <v>0</v>
      </c>
      <c r="K29" s="119">
        <f t="shared" si="30"/>
        <v>0</v>
      </c>
      <c r="L29" s="119">
        <f t="shared" si="30"/>
        <v>0</v>
      </c>
      <c r="M29" s="119">
        <f t="shared" si="28"/>
        <v>0</v>
      </c>
      <c r="N29" s="119">
        <f t="shared" si="28"/>
        <v>0</v>
      </c>
      <c r="O29" s="119">
        <f t="shared" si="28"/>
        <v>0</v>
      </c>
      <c r="P29" s="119">
        <f t="shared" si="28"/>
        <v>1</v>
      </c>
      <c r="Q29" s="119">
        <f t="shared" si="28"/>
        <v>1</v>
      </c>
      <c r="R29" s="119">
        <f t="shared" si="28"/>
        <v>1</v>
      </c>
      <c r="S29" s="119">
        <f t="shared" si="28"/>
        <v>5.6646108212240531E-2</v>
      </c>
      <c r="T29" s="102"/>
      <c r="U29" s="119">
        <f t="shared" si="29"/>
        <v>0.97499999999999998</v>
      </c>
      <c r="V29" s="119">
        <f t="shared" si="29"/>
        <v>0.97499999999999998</v>
      </c>
      <c r="W29" s="119">
        <f t="shared" si="29"/>
        <v>0.97500000000000009</v>
      </c>
      <c r="X29" s="119">
        <f t="shared" si="29"/>
        <v>0.97500000000000009</v>
      </c>
      <c r="Y29" s="119">
        <f t="shared" si="29"/>
        <v>0.97500000000000009</v>
      </c>
      <c r="Z29" s="119">
        <f t="shared" si="29"/>
        <v>0.97500000000000009</v>
      </c>
      <c r="AA29" s="119">
        <f t="shared" si="29"/>
        <v>0.97499999999999998</v>
      </c>
      <c r="AB29" s="119">
        <f t="shared" si="29"/>
        <v>0.97499999999999998</v>
      </c>
      <c r="AC29" s="119">
        <f t="shared" si="29"/>
        <v>0.97499999999999998</v>
      </c>
      <c r="AD29" s="119">
        <f t="shared" si="29"/>
        <v>0.97499999999999998</v>
      </c>
      <c r="AE29" s="119">
        <f t="shared" si="29"/>
        <v>0.97500000000000009</v>
      </c>
      <c r="AF29" s="119">
        <f t="shared" si="29"/>
        <v>0.97500000000000009</v>
      </c>
      <c r="AG29" s="119">
        <f t="shared" si="29"/>
        <v>0.97499999999999987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 outlineLevel="1">
      <c r="A30" s="79">
        <v>9293</v>
      </c>
      <c r="B30" s="118" t="s">
        <v>7</v>
      </c>
      <c r="C30" s="119">
        <f t="shared" si="26"/>
        <v>0</v>
      </c>
      <c r="D30" s="119">
        <f t="shared" si="26"/>
        <v>0</v>
      </c>
      <c r="E30" s="119">
        <f t="shared" si="26"/>
        <v>0</v>
      </c>
      <c r="G30" s="119">
        <f t="shared" ref="G30:L30" si="31">IF(G7=0,0,G24/G7)</f>
        <v>0</v>
      </c>
      <c r="H30" s="119">
        <f t="shared" si="31"/>
        <v>0</v>
      </c>
      <c r="I30" s="119">
        <f t="shared" si="31"/>
        <v>0</v>
      </c>
      <c r="J30" s="119">
        <f t="shared" si="31"/>
        <v>0</v>
      </c>
      <c r="K30" s="119">
        <f t="shared" si="31"/>
        <v>0</v>
      </c>
      <c r="L30" s="119">
        <f t="shared" si="31"/>
        <v>0</v>
      </c>
      <c r="M30" s="119">
        <f t="shared" si="28"/>
        <v>0</v>
      </c>
      <c r="N30" s="119">
        <f t="shared" si="28"/>
        <v>0</v>
      </c>
      <c r="O30" s="119">
        <f t="shared" si="28"/>
        <v>0</v>
      </c>
      <c r="P30" s="119">
        <f t="shared" si="28"/>
        <v>0</v>
      </c>
      <c r="Q30" s="119">
        <f t="shared" si="28"/>
        <v>0</v>
      </c>
      <c r="R30" s="119">
        <f t="shared" si="28"/>
        <v>0</v>
      </c>
      <c r="S30" s="119">
        <f t="shared" si="28"/>
        <v>0</v>
      </c>
      <c r="T30" s="102"/>
      <c r="U30" s="119">
        <f t="shared" si="29"/>
        <v>0</v>
      </c>
      <c r="V30" s="119">
        <f t="shared" si="29"/>
        <v>0</v>
      </c>
      <c r="W30" s="119">
        <f t="shared" si="29"/>
        <v>0</v>
      </c>
      <c r="X30" s="119">
        <f t="shared" si="29"/>
        <v>0</v>
      </c>
      <c r="Y30" s="119">
        <f t="shared" si="29"/>
        <v>0</v>
      </c>
      <c r="Z30" s="119">
        <f t="shared" si="29"/>
        <v>0</v>
      </c>
      <c r="AA30" s="119">
        <f t="shared" si="29"/>
        <v>0</v>
      </c>
      <c r="AB30" s="119">
        <f t="shared" si="29"/>
        <v>0</v>
      </c>
      <c r="AC30" s="119">
        <f t="shared" si="29"/>
        <v>0</v>
      </c>
      <c r="AD30" s="119">
        <f t="shared" si="29"/>
        <v>0</v>
      </c>
      <c r="AE30" s="119">
        <f t="shared" si="29"/>
        <v>0</v>
      </c>
      <c r="AF30" s="119">
        <f t="shared" si="29"/>
        <v>0</v>
      </c>
      <c r="AG30" s="119">
        <f t="shared" si="29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 outlineLevel="1">
      <c r="A31" s="79">
        <v>9294</v>
      </c>
      <c r="B31" s="118" t="s">
        <v>98</v>
      </c>
      <c r="C31" s="119">
        <f t="shared" si="26"/>
        <v>0</v>
      </c>
      <c r="D31" s="119">
        <f t="shared" si="26"/>
        <v>0</v>
      </c>
      <c r="E31" s="119">
        <f t="shared" si="26"/>
        <v>0</v>
      </c>
      <c r="G31" s="119">
        <f t="shared" ref="G31:L31" si="32">IF(G8=0,0,G25/G8)</f>
        <v>0</v>
      </c>
      <c r="H31" s="119">
        <f t="shared" si="32"/>
        <v>0</v>
      </c>
      <c r="I31" s="119">
        <f t="shared" si="32"/>
        <v>0</v>
      </c>
      <c r="J31" s="119">
        <f t="shared" si="32"/>
        <v>0</v>
      </c>
      <c r="K31" s="119">
        <f t="shared" si="32"/>
        <v>0</v>
      </c>
      <c r="L31" s="119">
        <f t="shared" si="32"/>
        <v>0</v>
      </c>
      <c r="M31" s="119">
        <f t="shared" si="28"/>
        <v>0</v>
      </c>
      <c r="N31" s="119">
        <f t="shared" si="28"/>
        <v>0</v>
      </c>
      <c r="O31" s="119">
        <f t="shared" si="28"/>
        <v>0</v>
      </c>
      <c r="P31" s="119">
        <f t="shared" si="28"/>
        <v>0</v>
      </c>
      <c r="Q31" s="119">
        <f t="shared" si="28"/>
        <v>0</v>
      </c>
      <c r="R31" s="119">
        <f t="shared" si="28"/>
        <v>0</v>
      </c>
      <c r="S31" s="119">
        <f t="shared" si="28"/>
        <v>0</v>
      </c>
      <c r="T31" s="102"/>
      <c r="U31" s="119">
        <f t="shared" si="29"/>
        <v>0</v>
      </c>
      <c r="V31" s="119">
        <f t="shared" si="29"/>
        <v>0</v>
      </c>
      <c r="W31" s="119">
        <f t="shared" si="29"/>
        <v>0</v>
      </c>
      <c r="X31" s="119">
        <f t="shared" si="29"/>
        <v>0</v>
      </c>
      <c r="Y31" s="119">
        <f t="shared" si="29"/>
        <v>0</v>
      </c>
      <c r="Z31" s="119">
        <f t="shared" si="29"/>
        <v>0</v>
      </c>
      <c r="AA31" s="119">
        <f t="shared" si="29"/>
        <v>0</v>
      </c>
      <c r="AB31" s="119">
        <f t="shared" si="29"/>
        <v>0</v>
      </c>
      <c r="AC31" s="119">
        <f t="shared" si="29"/>
        <v>0</v>
      </c>
      <c r="AD31" s="119">
        <f t="shared" si="29"/>
        <v>0</v>
      </c>
      <c r="AE31" s="119">
        <f t="shared" si="29"/>
        <v>0</v>
      </c>
      <c r="AF31" s="119">
        <f t="shared" si="29"/>
        <v>0</v>
      </c>
      <c r="AG31" s="119">
        <f t="shared" si="29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 outlineLevel="1">
      <c r="A32" s="79">
        <v>9294</v>
      </c>
      <c r="B32" s="118" t="s">
        <v>172</v>
      </c>
      <c r="C32" s="119">
        <f t="shared" si="26"/>
        <v>0</v>
      </c>
      <c r="D32" s="119">
        <f t="shared" si="26"/>
        <v>0</v>
      </c>
      <c r="E32" s="119">
        <f t="shared" si="26"/>
        <v>0</v>
      </c>
      <c r="G32" s="119">
        <f t="shared" ref="G32:L32" si="33">IF(G9=0,0,G26/G9)</f>
        <v>0</v>
      </c>
      <c r="H32" s="119">
        <f t="shared" si="33"/>
        <v>0</v>
      </c>
      <c r="I32" s="119">
        <f t="shared" si="33"/>
        <v>0</v>
      </c>
      <c r="J32" s="119">
        <f t="shared" si="33"/>
        <v>0</v>
      </c>
      <c r="K32" s="119">
        <f t="shared" si="33"/>
        <v>0</v>
      </c>
      <c r="L32" s="119">
        <f t="shared" si="33"/>
        <v>0</v>
      </c>
      <c r="M32" s="119">
        <f t="shared" si="28"/>
        <v>0</v>
      </c>
      <c r="N32" s="119">
        <f t="shared" si="28"/>
        <v>0</v>
      </c>
      <c r="O32" s="119">
        <f t="shared" si="28"/>
        <v>0</v>
      </c>
      <c r="P32" s="119">
        <f t="shared" si="28"/>
        <v>0</v>
      </c>
      <c r="Q32" s="119">
        <f t="shared" si="28"/>
        <v>0</v>
      </c>
      <c r="R32" s="119">
        <f t="shared" si="28"/>
        <v>0</v>
      </c>
      <c r="S32" s="119">
        <f t="shared" si="28"/>
        <v>0</v>
      </c>
      <c r="T32" s="102"/>
      <c r="U32" s="119">
        <f t="shared" si="29"/>
        <v>0</v>
      </c>
      <c r="V32" s="119">
        <f t="shared" si="29"/>
        <v>0</v>
      </c>
      <c r="W32" s="119">
        <f t="shared" si="29"/>
        <v>0</v>
      </c>
      <c r="X32" s="119">
        <f t="shared" si="29"/>
        <v>0</v>
      </c>
      <c r="Y32" s="119">
        <f t="shared" si="29"/>
        <v>0</v>
      </c>
      <c r="Z32" s="119">
        <f t="shared" si="29"/>
        <v>0</v>
      </c>
      <c r="AA32" s="119">
        <f t="shared" si="29"/>
        <v>0</v>
      </c>
      <c r="AB32" s="119">
        <f t="shared" si="29"/>
        <v>0</v>
      </c>
      <c r="AC32" s="119">
        <f t="shared" si="29"/>
        <v>0</v>
      </c>
      <c r="AD32" s="119">
        <f t="shared" si="29"/>
        <v>0</v>
      </c>
      <c r="AE32" s="119">
        <f t="shared" si="29"/>
        <v>0</v>
      </c>
      <c r="AF32" s="119">
        <f t="shared" si="29"/>
        <v>0</v>
      </c>
      <c r="AG32" s="119">
        <f t="shared" si="29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t="26.1" customHeight="1" collapsed="1">
      <c r="A33" s="54">
        <v>9290</v>
      </c>
      <c r="B33" s="55" t="s">
        <v>10</v>
      </c>
      <c r="C33" s="56" t="e">
        <f t="shared" ref="C33:E33" si="34">C27/C10</f>
        <v>#DIV/0!</v>
      </c>
      <c r="D33" s="56" t="e">
        <f t="shared" si="34"/>
        <v>#DIV/0!</v>
      </c>
      <c r="E33" s="56" t="e">
        <f t="shared" si="34"/>
        <v>#DIV/0!</v>
      </c>
      <c r="G33" s="56">
        <f t="shared" ref="G33:L33" si="35">G27/G10</f>
        <v>1</v>
      </c>
      <c r="H33" s="56">
        <f t="shared" si="35"/>
        <v>1</v>
      </c>
      <c r="I33" s="56">
        <f t="shared" si="35"/>
        <v>1</v>
      </c>
      <c r="J33" s="56">
        <f t="shared" si="35"/>
        <v>1</v>
      </c>
      <c r="K33" s="56">
        <f t="shared" si="35"/>
        <v>1</v>
      </c>
      <c r="L33" s="56">
        <f t="shared" si="35"/>
        <v>1</v>
      </c>
      <c r="M33" s="56">
        <f t="shared" ref="M33:S33" si="36">M27/M10</f>
        <v>1</v>
      </c>
      <c r="N33" s="56">
        <f t="shared" si="36"/>
        <v>1</v>
      </c>
      <c r="O33" s="56">
        <f t="shared" si="36"/>
        <v>1</v>
      </c>
      <c r="P33" s="56">
        <f t="shared" si="36"/>
        <v>1</v>
      </c>
      <c r="Q33" s="56">
        <f t="shared" si="36"/>
        <v>1</v>
      </c>
      <c r="R33" s="56">
        <f t="shared" si="36"/>
        <v>1</v>
      </c>
      <c r="S33" s="56">
        <f t="shared" si="36"/>
        <v>1</v>
      </c>
      <c r="U33" s="56">
        <f t="shared" ref="U33:AG33" si="37">U27/U10</f>
        <v>0.97499999999999998</v>
      </c>
      <c r="V33" s="56">
        <f t="shared" si="37"/>
        <v>0.97499999999999998</v>
      </c>
      <c r="W33" s="56">
        <f t="shared" si="37"/>
        <v>0.97500000000000009</v>
      </c>
      <c r="X33" s="56">
        <f t="shared" si="37"/>
        <v>0.97500000000000009</v>
      </c>
      <c r="Y33" s="56">
        <f t="shared" si="37"/>
        <v>0.97500000000000009</v>
      </c>
      <c r="Z33" s="56">
        <f t="shared" si="37"/>
        <v>0.97500000000000009</v>
      </c>
      <c r="AA33" s="56">
        <f t="shared" si="37"/>
        <v>0.97499999999999998</v>
      </c>
      <c r="AB33" s="56">
        <f t="shared" si="37"/>
        <v>0.97499999999999998</v>
      </c>
      <c r="AC33" s="56">
        <f t="shared" si="37"/>
        <v>0.97499999999999998</v>
      </c>
      <c r="AD33" s="56">
        <f t="shared" si="37"/>
        <v>0.97499999999999998</v>
      </c>
      <c r="AE33" s="56">
        <f t="shared" si="37"/>
        <v>0.97500000000000009</v>
      </c>
      <c r="AF33" s="56">
        <f t="shared" si="37"/>
        <v>0.97500000000000009</v>
      </c>
      <c r="AG33" s="56">
        <f t="shared" si="37"/>
        <v>0.97499999999999987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outlineLevel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38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39">SUM(U34:AF34)</f>
        <v>0</v>
      </c>
    </row>
    <row r="35" spans="1:43" s="96" customFormat="1" outlineLevel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38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9"/>
        <v>0</v>
      </c>
    </row>
    <row r="36" spans="1:43" s="96" customFormat="1" outlineLevel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38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9"/>
        <v>0</v>
      </c>
    </row>
    <row r="37" spans="1:43" s="96" customFormat="1" outlineLevel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38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9"/>
        <v>0</v>
      </c>
    </row>
    <row r="38" spans="1:43" s="96" customFormat="1" outlineLevel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38"/>
        <v>0</v>
      </c>
      <c r="U38" s="235">
        <f>VLOOKUP($A$2,investice!$C$51:$AG$65,investice!U$51,FALSE)</f>
        <v>0</v>
      </c>
      <c r="V38" s="235">
        <f>VLOOKUP($A$2,investice!$C$51:$AG$65,investice!V$51,FALSE)</f>
        <v>0</v>
      </c>
      <c r="W38" s="235">
        <f>VLOOKUP($A$2,investice!$C$51:$AG$65,investice!W$51,FALSE)</f>
        <v>0</v>
      </c>
      <c r="X38" s="235">
        <f>VLOOKUP($A$2,investice!$C$51:$AG$65,investice!X$51,FALSE)</f>
        <v>0</v>
      </c>
      <c r="Y38" s="235">
        <f>VLOOKUP($A$2,investice!$C$51:$AG$65,investice!Y$51,FALSE)</f>
        <v>0</v>
      </c>
      <c r="Z38" s="235">
        <f>VLOOKUP($A$2,investice!$C$51:$AG$65,investice!Z$51,FALSE)</f>
        <v>0</v>
      </c>
      <c r="AA38" s="235">
        <f>VLOOKUP($A$2,investice!$C$51:$AG$65,investice!AA$51,FALSE)</f>
        <v>0</v>
      </c>
      <c r="AB38" s="235">
        <f>VLOOKUP($A$2,investice!$C$51:$AG$65,investice!AB$51,FALSE)</f>
        <v>0</v>
      </c>
      <c r="AC38" s="235">
        <f>VLOOKUP($A$2,investice!$C$51:$AG$65,investice!AC$51,FALSE)</f>
        <v>0</v>
      </c>
      <c r="AD38" s="235">
        <f>VLOOKUP($A$2,investice!$C$51:$AG$65,investice!AD$51,FALSE)</f>
        <v>0</v>
      </c>
      <c r="AE38" s="235">
        <f>VLOOKUP($A$2,investice!$C$51:$AG$65,investice!AE$51,FALSE)</f>
        <v>0</v>
      </c>
      <c r="AF38" s="235">
        <f>VLOOKUP($A$2,investice!$C$51:$AG$65,investice!AF$51,FALSE)</f>
        <v>0</v>
      </c>
      <c r="AG38" s="44">
        <f t="shared" si="39"/>
        <v>0</v>
      </c>
    </row>
    <row r="39" spans="1:43" s="96" customFormat="1">
      <c r="A39" s="57">
        <v>9300</v>
      </c>
      <c r="B39" s="57" t="s">
        <v>14</v>
      </c>
      <c r="C39" s="41">
        <f t="shared" ref="C39:E39" si="40">SUM(C34:C38)</f>
        <v>0</v>
      </c>
      <c r="D39" s="41">
        <f t="shared" si="40"/>
        <v>0</v>
      </c>
      <c r="E39" s="41">
        <f t="shared" si="40"/>
        <v>0</v>
      </c>
      <c r="G39" s="41">
        <f t="shared" ref="G39:R39" si="41">SUM(G34:G38)</f>
        <v>0</v>
      </c>
      <c r="H39" s="41">
        <f t="shared" si="41"/>
        <v>0</v>
      </c>
      <c r="I39" s="41">
        <f t="shared" si="41"/>
        <v>0</v>
      </c>
      <c r="J39" s="41">
        <f t="shared" si="41"/>
        <v>0</v>
      </c>
      <c r="K39" s="41">
        <f t="shared" si="41"/>
        <v>0</v>
      </c>
      <c r="L39" s="41">
        <f t="shared" si="41"/>
        <v>0</v>
      </c>
      <c r="M39" s="41">
        <f t="shared" si="41"/>
        <v>0</v>
      </c>
      <c r="N39" s="41">
        <f t="shared" si="41"/>
        <v>0</v>
      </c>
      <c r="O39" s="41">
        <f t="shared" si="41"/>
        <v>0</v>
      </c>
      <c r="P39" s="41">
        <f t="shared" si="41"/>
        <v>0</v>
      </c>
      <c r="Q39" s="41">
        <f t="shared" si="41"/>
        <v>0</v>
      </c>
      <c r="R39" s="41">
        <f t="shared" si="41"/>
        <v>0</v>
      </c>
      <c r="S39" s="41">
        <f t="shared" si="38"/>
        <v>0</v>
      </c>
      <c r="U39" s="41">
        <f t="shared" ref="U39:AF39" si="42">SUM(U34:U38)</f>
        <v>0</v>
      </c>
      <c r="V39" s="41">
        <f t="shared" si="42"/>
        <v>0</v>
      </c>
      <c r="W39" s="41">
        <f t="shared" si="42"/>
        <v>0</v>
      </c>
      <c r="X39" s="41">
        <f t="shared" si="42"/>
        <v>0</v>
      </c>
      <c r="Y39" s="41">
        <f t="shared" si="42"/>
        <v>0</v>
      </c>
      <c r="Z39" s="41">
        <f t="shared" si="42"/>
        <v>0</v>
      </c>
      <c r="AA39" s="41">
        <f t="shared" si="42"/>
        <v>0</v>
      </c>
      <c r="AB39" s="41">
        <f t="shared" si="42"/>
        <v>0</v>
      </c>
      <c r="AC39" s="41">
        <f t="shared" si="42"/>
        <v>0</v>
      </c>
      <c r="AD39" s="41">
        <f t="shared" si="42"/>
        <v>0</v>
      </c>
      <c r="AE39" s="41">
        <f t="shared" si="42"/>
        <v>0</v>
      </c>
      <c r="AF39" s="41">
        <f t="shared" si="42"/>
        <v>0</v>
      </c>
      <c r="AG39" s="41">
        <f t="shared" si="39"/>
        <v>0</v>
      </c>
    </row>
    <row r="40" spans="1:43" s="96" customFormat="1" ht="24" hidden="1" customHeight="1" outlineLevel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38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9"/>
        <v>0</v>
      </c>
    </row>
    <row r="41" spans="1:43" s="96" customFormat="1" hidden="1" outlineLevel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38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9"/>
        <v>0</v>
      </c>
    </row>
    <row r="42" spans="1:43" s="96" customFormat="1" hidden="1" outlineLevel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38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9"/>
        <v>0</v>
      </c>
    </row>
    <row r="43" spans="1:43" s="96" customFormat="1" hidden="1" outlineLevel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38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9"/>
        <v>0</v>
      </c>
    </row>
    <row r="44" spans="1:43" s="96" customFormat="1" hidden="1" outlineLevel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38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9"/>
        <v>0</v>
      </c>
    </row>
    <row r="45" spans="1:43" s="96" customFormat="1" hidden="1" outlineLevel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38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9"/>
        <v>0</v>
      </c>
    </row>
    <row r="46" spans="1:43" s="96" customFormat="1" hidden="1" outlineLevel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38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9"/>
        <v>0</v>
      </c>
    </row>
    <row r="47" spans="1:43" s="96" customFormat="1" hidden="1" outlineLevel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38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9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43">SUM(C40:C47)</f>
        <v>0</v>
      </c>
      <c r="D48" s="41">
        <f t="shared" si="43"/>
        <v>0</v>
      </c>
      <c r="E48" s="41">
        <f t="shared" si="43"/>
        <v>0</v>
      </c>
      <c r="G48" s="41">
        <f t="shared" ref="G48:R48" si="44">SUM(G40:G47)</f>
        <v>0</v>
      </c>
      <c r="H48" s="41">
        <f t="shared" si="44"/>
        <v>0</v>
      </c>
      <c r="I48" s="41">
        <f t="shared" si="44"/>
        <v>0</v>
      </c>
      <c r="J48" s="41">
        <f t="shared" si="44"/>
        <v>0</v>
      </c>
      <c r="K48" s="41">
        <f t="shared" si="44"/>
        <v>0</v>
      </c>
      <c r="L48" s="41">
        <f t="shared" si="44"/>
        <v>0</v>
      </c>
      <c r="M48" s="41">
        <f t="shared" si="44"/>
        <v>0</v>
      </c>
      <c r="N48" s="41">
        <f t="shared" si="44"/>
        <v>0</v>
      </c>
      <c r="O48" s="41">
        <f t="shared" si="44"/>
        <v>0</v>
      </c>
      <c r="P48" s="41">
        <f t="shared" si="44"/>
        <v>0</v>
      </c>
      <c r="Q48" s="41">
        <f t="shared" si="44"/>
        <v>0</v>
      </c>
      <c r="R48" s="41">
        <f t="shared" si="44"/>
        <v>0</v>
      </c>
      <c r="S48" s="41">
        <f t="shared" si="38"/>
        <v>0</v>
      </c>
      <c r="U48" s="41">
        <f t="shared" ref="U48:AF48" si="45">SUM(U40:U47)</f>
        <v>0</v>
      </c>
      <c r="V48" s="41">
        <f t="shared" si="45"/>
        <v>0</v>
      </c>
      <c r="W48" s="41">
        <f t="shared" si="45"/>
        <v>0</v>
      </c>
      <c r="X48" s="41">
        <f t="shared" si="45"/>
        <v>0</v>
      </c>
      <c r="Y48" s="41">
        <f t="shared" si="45"/>
        <v>0</v>
      </c>
      <c r="Z48" s="41">
        <f t="shared" si="45"/>
        <v>0</v>
      </c>
      <c r="AA48" s="41">
        <f t="shared" si="45"/>
        <v>0</v>
      </c>
      <c r="AB48" s="41">
        <f t="shared" si="45"/>
        <v>0</v>
      </c>
      <c r="AC48" s="41">
        <f t="shared" si="45"/>
        <v>0</v>
      </c>
      <c r="AD48" s="41">
        <f t="shared" si="45"/>
        <v>0</v>
      </c>
      <c r="AE48" s="41">
        <f t="shared" si="45"/>
        <v>0</v>
      </c>
      <c r="AF48" s="41">
        <f t="shared" si="45"/>
        <v>0</v>
      </c>
      <c r="AG48" s="41">
        <f t="shared" si="39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38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9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38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9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38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9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38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9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38"/>
        <v>0</v>
      </c>
      <c r="T53" s="239"/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f t="shared" si="39"/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38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39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38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39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38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9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38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9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38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46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38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39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38"/>
        <v>0</v>
      </c>
      <c r="U60" s="235">
        <f>VLOOKUP($A$2,osobni!$F$31:$EQ$44,osobni!DC$3,FALSE)</f>
        <v>0</v>
      </c>
      <c r="V60" s="235">
        <f>VLOOKUP($A$2,osobni!$F$31:$EQ$44,osobni!DD$3,FALSE)</f>
        <v>0</v>
      </c>
      <c r="W60" s="235">
        <f>VLOOKUP($A$2,osobni!$F$31:$EQ$44,osobni!DE$3,FALSE)</f>
        <v>0</v>
      </c>
      <c r="X60" s="235">
        <f>VLOOKUP($A$2,osobni!$F$31:$EQ$44,osobni!DF$3,FALSE)</f>
        <v>0</v>
      </c>
      <c r="Y60" s="235">
        <f>VLOOKUP($A$2,osobni!$F$31:$EQ$44,osobni!DG$3,FALSE)</f>
        <v>0</v>
      </c>
      <c r="Z60" s="235">
        <f>VLOOKUP($A$2,osobni!$F$31:$EQ$44,osobni!DH$3,FALSE)</f>
        <v>0</v>
      </c>
      <c r="AA60" s="235">
        <f>VLOOKUP($A$2,osobni!$F$31:$EQ$44,osobni!DI$3,FALSE)</f>
        <v>0</v>
      </c>
      <c r="AB60" s="235">
        <f>VLOOKUP($A$2,osobni!$F$31:$EQ$44,osobni!DJ$3,FALSE)</f>
        <v>0</v>
      </c>
      <c r="AC60" s="235">
        <f>VLOOKUP($A$2,osobni!$F$31:$EQ$44,osobni!DK$3,FALSE)</f>
        <v>0</v>
      </c>
      <c r="AD60" s="235">
        <f>VLOOKUP($A$2,osobni!$F$31:$EQ$44,osobni!DL$3,FALSE)</f>
        <v>0</v>
      </c>
      <c r="AE60" s="235">
        <f>VLOOKUP($A$2,osobni!$F$31:$EQ$44,osobni!DM$3,FALSE)</f>
        <v>0</v>
      </c>
      <c r="AF60" s="235">
        <f>VLOOKUP($A$2,osobni!$F$31:$EQ$44,osobni!DN$3,FALSE)</f>
        <v>0</v>
      </c>
      <c r="AG60" s="44">
        <f t="shared" si="39"/>
        <v>0</v>
      </c>
    </row>
    <row r="61" spans="1:33" s="96" customFormat="1">
      <c r="A61" s="57">
        <v>9500</v>
      </c>
      <c r="B61" s="57" t="s">
        <v>121</v>
      </c>
      <c r="C61" s="41">
        <f t="shared" ref="C61:E61" si="47">SUM(C49:C60)</f>
        <v>0</v>
      </c>
      <c r="D61" s="41">
        <f t="shared" si="47"/>
        <v>0</v>
      </c>
      <c r="E61" s="41">
        <f t="shared" si="47"/>
        <v>0</v>
      </c>
      <c r="G61" s="41">
        <f t="shared" ref="G61:R61" si="48">SUM(G49:G60)</f>
        <v>0</v>
      </c>
      <c r="H61" s="41">
        <f t="shared" si="48"/>
        <v>0</v>
      </c>
      <c r="I61" s="41">
        <f t="shared" si="48"/>
        <v>0</v>
      </c>
      <c r="J61" s="41">
        <f t="shared" si="48"/>
        <v>0</v>
      </c>
      <c r="K61" s="41">
        <f t="shared" si="48"/>
        <v>0</v>
      </c>
      <c r="L61" s="41">
        <f t="shared" si="48"/>
        <v>0</v>
      </c>
      <c r="M61" s="41">
        <f t="shared" si="48"/>
        <v>0</v>
      </c>
      <c r="N61" s="41">
        <f t="shared" si="48"/>
        <v>0</v>
      </c>
      <c r="O61" s="41">
        <f t="shared" si="48"/>
        <v>0</v>
      </c>
      <c r="P61" s="41">
        <f t="shared" si="48"/>
        <v>0</v>
      </c>
      <c r="Q61" s="41">
        <f t="shared" si="48"/>
        <v>0</v>
      </c>
      <c r="R61" s="41">
        <f t="shared" si="48"/>
        <v>0</v>
      </c>
      <c r="S61" s="41">
        <f t="shared" si="38"/>
        <v>0</v>
      </c>
      <c r="U61" s="41">
        <f t="shared" ref="U61:AF61" si="49">SUM(U49:U60)</f>
        <v>0</v>
      </c>
      <c r="V61" s="41">
        <f t="shared" si="49"/>
        <v>0</v>
      </c>
      <c r="W61" s="41">
        <f t="shared" si="49"/>
        <v>0</v>
      </c>
      <c r="X61" s="41">
        <f t="shared" si="49"/>
        <v>0</v>
      </c>
      <c r="Y61" s="41">
        <f t="shared" si="49"/>
        <v>0</v>
      </c>
      <c r="Z61" s="41">
        <f t="shared" si="49"/>
        <v>0</v>
      </c>
      <c r="AA61" s="41">
        <f t="shared" si="49"/>
        <v>0</v>
      </c>
      <c r="AB61" s="41">
        <f t="shared" si="49"/>
        <v>0</v>
      </c>
      <c r="AC61" s="41">
        <f t="shared" si="49"/>
        <v>0</v>
      </c>
      <c r="AD61" s="41">
        <f t="shared" si="49"/>
        <v>0</v>
      </c>
      <c r="AE61" s="41">
        <f t="shared" si="49"/>
        <v>0</v>
      </c>
      <c r="AF61" s="41">
        <f t="shared" si="49"/>
        <v>0</v>
      </c>
      <c r="AG61" s="41">
        <f t="shared" si="39"/>
        <v>0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38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9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38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9"/>
        <v>0</v>
      </c>
    </row>
    <row r="64" spans="1:33" s="96" customFormat="1">
      <c r="A64" s="59">
        <v>9600</v>
      </c>
      <c r="B64" s="62" t="s">
        <v>122</v>
      </c>
      <c r="C64" s="63">
        <f t="shared" ref="C64:E64" si="50">C27-C48-C39-C61+C63-C62</f>
        <v>0</v>
      </c>
      <c r="D64" s="63">
        <f t="shared" si="50"/>
        <v>0</v>
      </c>
      <c r="E64" s="63">
        <f t="shared" si="50"/>
        <v>0</v>
      </c>
      <c r="G64" s="63">
        <f t="shared" ref="G64:R64" si="51">G27-G48-G39-G61+G63-G62</f>
        <v>289</v>
      </c>
      <c r="H64" s="63">
        <f t="shared" si="51"/>
        <v>3534.136</v>
      </c>
      <c r="I64" s="63">
        <f t="shared" si="51"/>
        <v>81362.111999999994</v>
      </c>
      <c r="J64" s="63">
        <f t="shared" si="51"/>
        <v>21426.46</v>
      </c>
      <c r="K64" s="63">
        <f t="shared" si="51"/>
        <v>12238.723999999998</v>
      </c>
      <c r="L64" s="63">
        <f t="shared" si="51"/>
        <v>40205.216</v>
      </c>
      <c r="M64" s="63">
        <f t="shared" si="51"/>
        <v>164</v>
      </c>
      <c r="N64" s="63">
        <f t="shared" si="51"/>
        <v>5279.6</v>
      </c>
      <c r="O64" s="63">
        <f t="shared" si="51"/>
        <v>3784</v>
      </c>
      <c r="P64" s="63">
        <f t="shared" si="51"/>
        <v>4105</v>
      </c>
      <c r="Q64" s="63">
        <f t="shared" si="51"/>
        <v>3000</v>
      </c>
      <c r="R64" s="63">
        <f t="shared" si="51"/>
        <v>3000</v>
      </c>
      <c r="S64" s="63">
        <f t="shared" si="38"/>
        <v>178388.24799999999</v>
      </c>
      <c r="U64" s="63">
        <f t="shared" ref="U64:AF64" si="52">U27-U48-U39-U61+U63-U62</f>
        <v>315.91206613565714</v>
      </c>
      <c r="V64" s="63">
        <f t="shared" si="52"/>
        <v>3863.2394663128262</v>
      </c>
      <c r="W64" s="63">
        <f t="shared" si="52"/>
        <v>88938.660578134062</v>
      </c>
      <c r="X64" s="63">
        <f t="shared" si="52"/>
        <v>23421.720583297621</v>
      </c>
      <c r="Y64" s="63">
        <f t="shared" si="52"/>
        <v>13378.410331155896</v>
      </c>
      <c r="Z64" s="63">
        <f t="shared" si="52"/>
        <v>43949.179432492667</v>
      </c>
      <c r="AA64" s="63">
        <f t="shared" si="52"/>
        <v>179.27189912196459</v>
      </c>
      <c r="AB64" s="63">
        <f t="shared" si="52"/>
        <v>5771.2434061239292</v>
      </c>
      <c r="AC64" s="63">
        <f t="shared" si="52"/>
        <v>4136.3711358384999</v>
      </c>
      <c r="AD64" s="63">
        <f t="shared" si="52"/>
        <v>4487.2630847296623</v>
      </c>
      <c r="AE64" s="63">
        <f t="shared" si="52"/>
        <v>3279.3640083286209</v>
      </c>
      <c r="AF64" s="63">
        <f t="shared" si="52"/>
        <v>3279.3640083286209</v>
      </c>
      <c r="AG64" s="63">
        <f t="shared" si="39"/>
        <v>195000</v>
      </c>
    </row>
    <row r="65" spans="1:33" s="102" customFormat="1">
      <c r="A65" s="64">
        <v>9690</v>
      </c>
      <c r="B65" s="65" t="s">
        <v>123</v>
      </c>
      <c r="C65" s="66" t="e">
        <f t="shared" ref="C65:E65" si="53">C64/C10</f>
        <v>#DIV/0!</v>
      </c>
      <c r="D65" s="66" t="e">
        <f t="shared" si="53"/>
        <v>#DIV/0!</v>
      </c>
      <c r="E65" s="66" t="e">
        <f t="shared" si="53"/>
        <v>#DIV/0!</v>
      </c>
      <c r="G65" s="66">
        <f t="shared" ref="G65:S65" si="54">G64/G10</f>
        <v>1</v>
      </c>
      <c r="H65" s="66">
        <f t="shared" si="54"/>
        <v>1</v>
      </c>
      <c r="I65" s="66">
        <f t="shared" si="54"/>
        <v>1</v>
      </c>
      <c r="J65" s="66">
        <f t="shared" si="54"/>
        <v>1</v>
      </c>
      <c r="K65" s="66">
        <f t="shared" si="54"/>
        <v>1</v>
      </c>
      <c r="L65" s="66">
        <f t="shared" si="54"/>
        <v>1</v>
      </c>
      <c r="M65" s="66">
        <f t="shared" si="54"/>
        <v>1</v>
      </c>
      <c r="N65" s="66">
        <f t="shared" si="54"/>
        <v>1</v>
      </c>
      <c r="O65" s="66">
        <f t="shared" si="54"/>
        <v>1</v>
      </c>
      <c r="P65" s="66">
        <f t="shared" si="54"/>
        <v>1</v>
      </c>
      <c r="Q65" s="66">
        <f t="shared" si="54"/>
        <v>1</v>
      </c>
      <c r="R65" s="66">
        <f t="shared" si="54"/>
        <v>1</v>
      </c>
      <c r="S65" s="66">
        <f t="shared" si="54"/>
        <v>1</v>
      </c>
      <c r="U65" s="66">
        <f t="shared" ref="U65:AG65" si="55">U64/U10</f>
        <v>0.97499999999999998</v>
      </c>
      <c r="V65" s="66">
        <f t="shared" si="55"/>
        <v>0.97499999999999998</v>
      </c>
      <c r="W65" s="66">
        <f t="shared" si="55"/>
        <v>0.97500000000000009</v>
      </c>
      <c r="X65" s="66">
        <f t="shared" si="55"/>
        <v>0.97500000000000009</v>
      </c>
      <c r="Y65" s="66">
        <f t="shared" si="55"/>
        <v>0.97500000000000009</v>
      </c>
      <c r="Z65" s="66">
        <f t="shared" si="55"/>
        <v>0.97500000000000009</v>
      </c>
      <c r="AA65" s="66">
        <f t="shared" si="55"/>
        <v>0.97499999999999998</v>
      </c>
      <c r="AB65" s="66">
        <f t="shared" si="55"/>
        <v>0.97499999999999998</v>
      </c>
      <c r="AC65" s="66">
        <f t="shared" si="55"/>
        <v>0.97499999999999998</v>
      </c>
      <c r="AD65" s="66">
        <f t="shared" si="55"/>
        <v>0.97499999999999998</v>
      </c>
      <c r="AE65" s="66">
        <f t="shared" si="55"/>
        <v>0.97500000000000009</v>
      </c>
      <c r="AF65" s="66">
        <f t="shared" si="55"/>
        <v>0.97500000000000009</v>
      </c>
      <c r="AG65" s="66">
        <f t="shared" si="55"/>
        <v>0.97499999999999987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56">C64-C66+C67</f>
        <v>0</v>
      </c>
      <c r="D68" s="72">
        <f t="shared" si="56"/>
        <v>0</v>
      </c>
      <c r="E68" s="72">
        <f t="shared" si="56"/>
        <v>0</v>
      </c>
      <c r="G68" s="72">
        <f t="shared" ref="G68:R68" si="57">G64-G66+G67</f>
        <v>289</v>
      </c>
      <c r="H68" s="72">
        <f t="shared" si="57"/>
        <v>3534.136</v>
      </c>
      <c r="I68" s="72">
        <f t="shared" si="57"/>
        <v>81362.111999999994</v>
      </c>
      <c r="J68" s="72">
        <f t="shared" si="57"/>
        <v>21426.46</v>
      </c>
      <c r="K68" s="72">
        <f t="shared" si="57"/>
        <v>12238.723999999998</v>
      </c>
      <c r="L68" s="72">
        <f t="shared" si="57"/>
        <v>40205.216</v>
      </c>
      <c r="M68" s="72">
        <f t="shared" si="57"/>
        <v>164</v>
      </c>
      <c r="N68" s="72">
        <f t="shared" si="57"/>
        <v>5279.6</v>
      </c>
      <c r="O68" s="72">
        <f t="shared" si="57"/>
        <v>3784</v>
      </c>
      <c r="P68" s="72">
        <f t="shared" si="57"/>
        <v>4105</v>
      </c>
      <c r="Q68" s="72">
        <f t="shared" si="57"/>
        <v>3000</v>
      </c>
      <c r="R68" s="72">
        <f t="shared" si="57"/>
        <v>3000</v>
      </c>
      <c r="S68" s="72">
        <f>SUM(G68:R68)</f>
        <v>178388.24799999999</v>
      </c>
      <c r="T68" s="96"/>
      <c r="U68" s="72">
        <f t="shared" ref="U68:AF68" si="58">U64-U66+U67</f>
        <v>315.91206613565714</v>
      </c>
      <c r="V68" s="72">
        <f t="shared" si="58"/>
        <v>3863.2394663128262</v>
      </c>
      <c r="W68" s="72">
        <f t="shared" si="58"/>
        <v>88938.660578134062</v>
      </c>
      <c r="X68" s="72">
        <f t="shared" si="58"/>
        <v>23421.720583297621</v>
      </c>
      <c r="Y68" s="72">
        <f t="shared" si="58"/>
        <v>13378.410331155896</v>
      </c>
      <c r="Z68" s="72">
        <f t="shared" si="58"/>
        <v>43949.179432492667</v>
      </c>
      <c r="AA68" s="72">
        <f t="shared" si="58"/>
        <v>179.27189912196459</v>
      </c>
      <c r="AB68" s="72">
        <f t="shared" si="58"/>
        <v>5771.2434061239292</v>
      </c>
      <c r="AC68" s="72">
        <f t="shared" si="58"/>
        <v>4136.3711358384999</v>
      </c>
      <c r="AD68" s="72">
        <f t="shared" si="58"/>
        <v>4487.2630847296623</v>
      </c>
      <c r="AE68" s="72">
        <f t="shared" si="58"/>
        <v>3279.3640083286209</v>
      </c>
      <c r="AF68" s="72">
        <f t="shared" si="58"/>
        <v>3279.3640083286209</v>
      </c>
      <c r="AG68" s="72">
        <f>SUM(U68:AF68)</f>
        <v>195000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9">C68-C69</f>
        <v>0</v>
      </c>
      <c r="D70" s="78">
        <f t="shared" si="59"/>
        <v>0</v>
      </c>
      <c r="E70" s="78">
        <f t="shared" si="59"/>
        <v>0</v>
      </c>
      <c r="G70" s="78">
        <f t="shared" ref="G70:R70" si="60">G68-G69</f>
        <v>289</v>
      </c>
      <c r="H70" s="78">
        <f t="shared" si="60"/>
        <v>3534.136</v>
      </c>
      <c r="I70" s="78">
        <f t="shared" si="60"/>
        <v>81362.111999999994</v>
      </c>
      <c r="J70" s="78">
        <f t="shared" si="60"/>
        <v>21426.46</v>
      </c>
      <c r="K70" s="78">
        <f t="shared" si="60"/>
        <v>12238.723999999998</v>
      </c>
      <c r="L70" s="78">
        <f t="shared" si="60"/>
        <v>40205.216</v>
      </c>
      <c r="M70" s="78">
        <f t="shared" si="60"/>
        <v>164</v>
      </c>
      <c r="N70" s="78">
        <f t="shared" si="60"/>
        <v>5279.6</v>
      </c>
      <c r="O70" s="78">
        <f t="shared" si="60"/>
        <v>3784</v>
      </c>
      <c r="P70" s="78">
        <f t="shared" si="60"/>
        <v>4105</v>
      </c>
      <c r="Q70" s="78">
        <f t="shared" si="60"/>
        <v>3000</v>
      </c>
      <c r="R70" s="78">
        <f t="shared" si="60"/>
        <v>3000</v>
      </c>
      <c r="S70" s="78">
        <f>SUM(G70:R70)</f>
        <v>178388.24799999999</v>
      </c>
      <c r="T70" s="96"/>
      <c r="U70" s="78">
        <f t="shared" ref="U70:AF70" si="61">U68-U69</f>
        <v>315.91206613565714</v>
      </c>
      <c r="V70" s="78">
        <f t="shared" si="61"/>
        <v>3863.2394663128262</v>
      </c>
      <c r="W70" s="78">
        <f t="shared" si="61"/>
        <v>88938.660578134062</v>
      </c>
      <c r="X70" s="78">
        <f t="shared" si="61"/>
        <v>23421.720583297621</v>
      </c>
      <c r="Y70" s="78">
        <f t="shared" si="61"/>
        <v>13378.410331155896</v>
      </c>
      <c r="Z70" s="78">
        <f t="shared" si="61"/>
        <v>43949.179432492667</v>
      </c>
      <c r="AA70" s="78">
        <f t="shared" si="61"/>
        <v>179.27189912196459</v>
      </c>
      <c r="AB70" s="78">
        <f t="shared" si="61"/>
        <v>5771.2434061239292</v>
      </c>
      <c r="AC70" s="78">
        <f t="shared" si="61"/>
        <v>4136.3711358384999</v>
      </c>
      <c r="AD70" s="78">
        <f t="shared" si="61"/>
        <v>4487.2630847296623</v>
      </c>
      <c r="AE70" s="78">
        <f t="shared" si="61"/>
        <v>3279.3640083286209</v>
      </c>
      <c r="AF70" s="78">
        <f t="shared" si="61"/>
        <v>3279.3640083286209</v>
      </c>
      <c r="AG70" s="78">
        <f>SUM(U70:AF70)</f>
        <v>195000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62">C70/C10</f>
        <v>#DIV/0!</v>
      </c>
      <c r="D71" s="80" t="e">
        <f t="shared" si="62"/>
        <v>#DIV/0!</v>
      </c>
      <c r="E71" s="80" t="e">
        <f t="shared" si="62"/>
        <v>#DIV/0!</v>
      </c>
      <c r="G71" s="80">
        <f t="shared" ref="G71:S71" si="63">G70/G10</f>
        <v>1</v>
      </c>
      <c r="H71" s="80">
        <f t="shared" si="63"/>
        <v>1</v>
      </c>
      <c r="I71" s="80">
        <f t="shared" si="63"/>
        <v>1</v>
      </c>
      <c r="J71" s="80">
        <f t="shared" si="63"/>
        <v>1</v>
      </c>
      <c r="K71" s="80">
        <f t="shared" si="63"/>
        <v>1</v>
      </c>
      <c r="L71" s="80">
        <f t="shared" si="63"/>
        <v>1</v>
      </c>
      <c r="M71" s="80">
        <f t="shared" si="63"/>
        <v>1</v>
      </c>
      <c r="N71" s="80">
        <f t="shared" si="63"/>
        <v>1</v>
      </c>
      <c r="O71" s="80">
        <f t="shared" si="63"/>
        <v>1</v>
      </c>
      <c r="P71" s="80">
        <f t="shared" si="63"/>
        <v>1</v>
      </c>
      <c r="Q71" s="80">
        <f t="shared" si="63"/>
        <v>1</v>
      </c>
      <c r="R71" s="80">
        <f t="shared" si="63"/>
        <v>1</v>
      </c>
      <c r="S71" s="80">
        <f t="shared" si="63"/>
        <v>1</v>
      </c>
      <c r="U71" s="80">
        <f t="shared" ref="U71:AG71" si="64">U70/U10</f>
        <v>0.97499999999999998</v>
      </c>
      <c r="V71" s="80">
        <f t="shared" si="64"/>
        <v>0.97499999999999998</v>
      </c>
      <c r="W71" s="80">
        <f t="shared" si="64"/>
        <v>0.97500000000000009</v>
      </c>
      <c r="X71" s="80">
        <f t="shared" si="64"/>
        <v>0.97500000000000009</v>
      </c>
      <c r="Y71" s="80">
        <f t="shared" si="64"/>
        <v>0.97500000000000009</v>
      </c>
      <c r="Z71" s="80">
        <f t="shared" si="64"/>
        <v>0.97500000000000009</v>
      </c>
      <c r="AA71" s="80">
        <f t="shared" si="64"/>
        <v>0.97499999999999998</v>
      </c>
      <c r="AB71" s="80">
        <f t="shared" si="64"/>
        <v>0.97499999999999998</v>
      </c>
      <c r="AC71" s="80">
        <f t="shared" si="64"/>
        <v>0.97499999999999998</v>
      </c>
      <c r="AD71" s="80">
        <f t="shared" si="64"/>
        <v>0.97499999999999998</v>
      </c>
      <c r="AE71" s="80">
        <f t="shared" si="64"/>
        <v>0.97500000000000009</v>
      </c>
      <c r="AF71" s="80">
        <f t="shared" si="64"/>
        <v>0.97500000000000009</v>
      </c>
      <c r="AG71" s="80">
        <f t="shared" si="64"/>
        <v>0.97499999999999987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65">C64+C73</f>
        <v>0</v>
      </c>
      <c r="D74" s="84">
        <f t="shared" si="65"/>
        <v>0</v>
      </c>
      <c r="E74" s="84">
        <f t="shared" si="65"/>
        <v>0</v>
      </c>
      <c r="G74" s="84">
        <f t="shared" ref="G74:R74" si="66">G64+G73</f>
        <v>289</v>
      </c>
      <c r="H74" s="84">
        <f t="shared" si="66"/>
        <v>3534.136</v>
      </c>
      <c r="I74" s="84">
        <f t="shared" si="66"/>
        <v>81362.111999999994</v>
      </c>
      <c r="J74" s="84">
        <f t="shared" si="66"/>
        <v>21426.46</v>
      </c>
      <c r="K74" s="84">
        <f t="shared" si="66"/>
        <v>12238.723999999998</v>
      </c>
      <c r="L74" s="84">
        <f t="shared" si="66"/>
        <v>40205.216</v>
      </c>
      <c r="M74" s="84">
        <f t="shared" si="66"/>
        <v>164</v>
      </c>
      <c r="N74" s="84">
        <f t="shared" si="66"/>
        <v>5279.6</v>
      </c>
      <c r="O74" s="84">
        <f t="shared" si="66"/>
        <v>3784</v>
      </c>
      <c r="P74" s="84">
        <f t="shared" si="66"/>
        <v>4105</v>
      </c>
      <c r="Q74" s="84">
        <f t="shared" si="66"/>
        <v>3000</v>
      </c>
      <c r="R74" s="84">
        <f t="shared" si="66"/>
        <v>3000</v>
      </c>
      <c r="S74" s="84">
        <f>SUM(G74:R74)</f>
        <v>178388.24799999999</v>
      </c>
      <c r="U74" s="84">
        <f t="shared" ref="U74:AF74" si="67">U64+U73</f>
        <v>315.91206613565714</v>
      </c>
      <c r="V74" s="84">
        <f t="shared" si="67"/>
        <v>3863.2394663128262</v>
      </c>
      <c r="W74" s="84">
        <f t="shared" si="67"/>
        <v>88938.660578134062</v>
      </c>
      <c r="X74" s="84">
        <f t="shared" si="67"/>
        <v>23421.720583297621</v>
      </c>
      <c r="Y74" s="84">
        <f t="shared" si="67"/>
        <v>13378.410331155896</v>
      </c>
      <c r="Z74" s="84">
        <f t="shared" si="67"/>
        <v>43949.179432492667</v>
      </c>
      <c r="AA74" s="84">
        <f t="shared" si="67"/>
        <v>179.27189912196459</v>
      </c>
      <c r="AB74" s="84">
        <f t="shared" si="67"/>
        <v>5771.2434061239292</v>
      </c>
      <c r="AC74" s="84">
        <f t="shared" si="67"/>
        <v>4136.3711358384999</v>
      </c>
      <c r="AD74" s="84">
        <f t="shared" si="67"/>
        <v>4487.2630847296623</v>
      </c>
      <c r="AE74" s="84">
        <f t="shared" si="67"/>
        <v>3279.3640083286209</v>
      </c>
      <c r="AF74" s="84">
        <f t="shared" si="67"/>
        <v>3279.3640083286209</v>
      </c>
      <c r="AG74" s="84">
        <f>SUM(U74:AF74)</f>
        <v>195000</v>
      </c>
    </row>
    <row r="75" spans="1:33" s="110" customFormat="1">
      <c r="A75" s="85">
        <v>9790</v>
      </c>
      <c r="B75" s="86" t="s">
        <v>129</v>
      </c>
      <c r="C75" s="56" t="e">
        <f t="shared" ref="C75:E75" si="68">C74/C10</f>
        <v>#DIV/0!</v>
      </c>
      <c r="D75" s="56" t="e">
        <f t="shared" si="68"/>
        <v>#DIV/0!</v>
      </c>
      <c r="E75" s="56" t="e">
        <f t="shared" si="68"/>
        <v>#DIV/0!</v>
      </c>
      <c r="G75" s="56">
        <f t="shared" ref="G75:S75" si="69">G74/G10</f>
        <v>1</v>
      </c>
      <c r="H75" s="56">
        <f t="shared" si="69"/>
        <v>1</v>
      </c>
      <c r="I75" s="56">
        <f t="shared" si="69"/>
        <v>1</v>
      </c>
      <c r="J75" s="56">
        <f t="shared" si="69"/>
        <v>1</v>
      </c>
      <c r="K75" s="56">
        <f t="shared" si="69"/>
        <v>1</v>
      </c>
      <c r="L75" s="56">
        <f t="shared" si="69"/>
        <v>1</v>
      </c>
      <c r="M75" s="56">
        <f t="shared" si="69"/>
        <v>1</v>
      </c>
      <c r="N75" s="56">
        <f t="shared" si="69"/>
        <v>1</v>
      </c>
      <c r="O75" s="56">
        <f t="shared" si="69"/>
        <v>1</v>
      </c>
      <c r="P75" s="56">
        <f t="shared" si="69"/>
        <v>1</v>
      </c>
      <c r="Q75" s="56">
        <f t="shared" si="69"/>
        <v>1</v>
      </c>
      <c r="R75" s="56">
        <f t="shared" si="69"/>
        <v>1</v>
      </c>
      <c r="S75" s="56">
        <f t="shared" si="69"/>
        <v>1</v>
      </c>
      <c r="T75" s="109"/>
      <c r="U75" s="56">
        <f t="shared" ref="U75:AG75" si="70">U74/U10</f>
        <v>0.97499999999999998</v>
      </c>
      <c r="V75" s="56">
        <f t="shared" si="70"/>
        <v>0.97499999999999998</v>
      </c>
      <c r="W75" s="56">
        <f t="shared" si="70"/>
        <v>0.97500000000000009</v>
      </c>
      <c r="X75" s="56">
        <f t="shared" si="70"/>
        <v>0.97500000000000009</v>
      </c>
      <c r="Y75" s="56">
        <f t="shared" si="70"/>
        <v>0.97500000000000009</v>
      </c>
      <c r="Z75" s="56">
        <f t="shared" si="70"/>
        <v>0.97500000000000009</v>
      </c>
      <c r="AA75" s="56">
        <f t="shared" si="70"/>
        <v>0.97499999999999998</v>
      </c>
      <c r="AB75" s="56">
        <f t="shared" si="70"/>
        <v>0.97499999999999998</v>
      </c>
      <c r="AC75" s="56">
        <f t="shared" si="70"/>
        <v>0.97499999999999998</v>
      </c>
      <c r="AD75" s="56">
        <f t="shared" si="70"/>
        <v>0.97499999999999998</v>
      </c>
      <c r="AE75" s="56">
        <f t="shared" si="70"/>
        <v>0.97500000000000009</v>
      </c>
      <c r="AF75" s="56">
        <f t="shared" si="70"/>
        <v>0.97500000000000009</v>
      </c>
      <c r="AG75" s="56">
        <f t="shared" si="70"/>
        <v>0.97499999999999987</v>
      </c>
    </row>
    <row r="76" spans="1:33">
      <c r="C76" s="111">
        <v>0.19659571563606479</v>
      </c>
      <c r="D76" s="111">
        <v>0.2027954116801734</v>
      </c>
      <c r="E76" s="111">
        <v>0.20809003662382283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U34" activePane="bottomRight" state="frozen"/>
      <selection activeCell="W50" sqref="W50"/>
      <selection pane="topRight" activeCell="W50" sqref="W50"/>
      <selection pane="bottomLeft" activeCell="W50" sqref="W50"/>
      <selection pane="bottomRight" activeCell="B38" sqref="B38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1.140625" style="45" customWidth="1" outlineLevel="1"/>
    <col min="33" max="33" width="12.42578125" style="45" bestFit="1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7200</v>
      </c>
      <c r="B2" s="232" t="s">
        <v>209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collapsed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5000</v>
      </c>
      <c r="V34" s="51">
        <v>5000</v>
      </c>
      <c r="W34" s="51">
        <v>5000</v>
      </c>
      <c r="X34" s="51">
        <v>5000</v>
      </c>
      <c r="Y34" s="51">
        <v>5000</v>
      </c>
      <c r="Z34" s="51">
        <v>5000</v>
      </c>
      <c r="AA34" s="51">
        <v>5000</v>
      </c>
      <c r="AB34" s="51">
        <v>5000</v>
      </c>
      <c r="AC34" s="51">
        <v>5000</v>
      </c>
      <c r="AD34" s="51">
        <v>5000</v>
      </c>
      <c r="AE34" s="51">
        <v>5000</v>
      </c>
      <c r="AF34" s="51">
        <v>5000</v>
      </c>
      <c r="AG34" s="51">
        <f t="shared" ref="AG34:AG64" si="30">SUM(U34:AF34)</f>
        <v>60000</v>
      </c>
    </row>
    <row r="35" spans="1:43" s="96" customFormat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235">
        <f>VLOOKUP($A$2,investice!$C$51:$AG$65,investice!U$51,FALSE)</f>
        <v>0</v>
      </c>
      <c r="V38" s="235">
        <f>VLOOKUP($A$2,investice!$C$51:$AG$65,investice!V$51,FALSE)</f>
        <v>0</v>
      </c>
      <c r="W38" s="235">
        <f>VLOOKUP($A$2,investice!$C$51:$AG$65,investice!W$51,FALSE)</f>
        <v>0</v>
      </c>
      <c r="X38" s="235">
        <f>VLOOKUP($A$2,investice!$C$51:$AG$65,investice!X$51,FALSE)</f>
        <v>0</v>
      </c>
      <c r="Y38" s="235">
        <f>VLOOKUP($A$2,investice!$C$51:$AG$65,investice!Y$51,FALSE)</f>
        <v>0</v>
      </c>
      <c r="Z38" s="235">
        <f>VLOOKUP($A$2,investice!$C$51:$AG$65,investice!Z$51,FALSE)</f>
        <v>0</v>
      </c>
      <c r="AA38" s="235">
        <f>VLOOKUP($A$2,investice!$C$51:$AG$65,investice!AA$51,FALSE)</f>
        <v>0</v>
      </c>
      <c r="AB38" s="235">
        <f>VLOOKUP($A$2,investice!$C$51:$AG$65,investice!AB$51,FALSE)</f>
        <v>0</v>
      </c>
      <c r="AC38" s="235">
        <f>VLOOKUP($A$2,investice!$C$51:$AG$65,investice!AC$51,FALSE)</f>
        <v>0</v>
      </c>
      <c r="AD38" s="235">
        <f>VLOOKUP($A$2,investice!$C$51:$AG$65,investice!AD$51,FALSE)</f>
        <v>0</v>
      </c>
      <c r="AE38" s="235">
        <f>VLOOKUP($A$2,investice!$C$51:$AG$65,investice!AE$51,FALSE)</f>
        <v>0</v>
      </c>
      <c r="AF38" s="235">
        <f>VLOOKUP($A$2,investice!$C$51:$AG$65,investice!AF$51,FALSE)</f>
        <v>0</v>
      </c>
      <c r="AG38" s="44">
        <f t="shared" si="30"/>
        <v>0</v>
      </c>
    </row>
    <row r="39" spans="1:43" s="96" customFormat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5000</v>
      </c>
      <c r="V39" s="41">
        <f t="shared" si="33"/>
        <v>5000</v>
      </c>
      <c r="W39" s="41">
        <f t="shared" si="33"/>
        <v>5000</v>
      </c>
      <c r="X39" s="41">
        <f t="shared" si="33"/>
        <v>5000</v>
      </c>
      <c r="Y39" s="41">
        <f t="shared" si="33"/>
        <v>5000</v>
      </c>
      <c r="Z39" s="41">
        <f t="shared" si="33"/>
        <v>5000</v>
      </c>
      <c r="AA39" s="41">
        <f t="shared" si="33"/>
        <v>5000</v>
      </c>
      <c r="AB39" s="41">
        <f t="shared" si="33"/>
        <v>5000</v>
      </c>
      <c r="AC39" s="41">
        <f t="shared" si="33"/>
        <v>5000</v>
      </c>
      <c r="AD39" s="41">
        <f t="shared" si="33"/>
        <v>5000</v>
      </c>
      <c r="AE39" s="41">
        <f t="shared" si="33"/>
        <v>5000</v>
      </c>
      <c r="AF39" s="41">
        <f t="shared" si="33"/>
        <v>5000</v>
      </c>
      <c r="AG39" s="41">
        <f t="shared" si="30"/>
        <v>60000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0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0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0</v>
      </c>
      <c r="V53" s="234">
        <f>VLOOKUP($A$2,osobni!$F$31:$EQ$44,osobni!EF$3,FALSE)</f>
        <v>0</v>
      </c>
      <c r="W53" s="234">
        <f>VLOOKUP($A$2,osobni!$F$31:$EQ$44,osobni!EG$3,FALSE)</f>
        <v>0</v>
      </c>
      <c r="X53" s="234">
        <f>VLOOKUP($A$2,osobni!$F$31:$EQ$44,osobni!EH$3,FALSE)</f>
        <v>0</v>
      </c>
      <c r="Y53" s="234">
        <f>VLOOKUP($A$2,osobni!$F$31:$EQ$44,osobni!EI$3,FALSE)</f>
        <v>0</v>
      </c>
      <c r="Z53" s="234">
        <f>VLOOKUP($A$2,osobni!$F$31:$EQ$44,osobni!EJ$3,FALSE)</f>
        <v>0</v>
      </c>
      <c r="AA53" s="234">
        <f>VLOOKUP($A$2,osobni!$F$31:$EQ$44,osobni!EK$3,FALSE)</f>
        <v>0</v>
      </c>
      <c r="AB53" s="234">
        <f>VLOOKUP($A$2,osobni!$F$31:$EQ$44,osobni!EL$3,FALSE)</f>
        <v>0</v>
      </c>
      <c r="AC53" s="234">
        <f>VLOOKUP($A$2,osobni!$F$31:$EQ$44,osobni!EM$3,FALSE)</f>
        <v>0</v>
      </c>
      <c r="AD53" s="234">
        <f>VLOOKUP($A$2,osobni!$F$31:$EQ$44,osobni!EN$3,FALSE)</f>
        <v>0</v>
      </c>
      <c r="AE53" s="234">
        <f>VLOOKUP($A$2,osobni!$F$31:$EQ$44,osobni!EO$3,FALSE)</f>
        <v>0</v>
      </c>
      <c r="AF53" s="234">
        <f>VLOOKUP($A$2,osobni!$F$31:$EQ$44,osobni!EP$3,FALSE)</f>
        <v>0</v>
      </c>
      <c r="AG53" s="51">
        <f t="shared" si="30"/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30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30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0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0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7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30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0</v>
      </c>
      <c r="V60" s="235">
        <f>VLOOKUP($A$2,osobni!$F$31:$EQ$44,osobni!DD$3,FALSE)</f>
        <v>0</v>
      </c>
      <c r="W60" s="235">
        <f>VLOOKUP($A$2,osobni!$F$31:$EQ$44,osobni!DE$3,FALSE)</f>
        <v>0</v>
      </c>
      <c r="X60" s="235">
        <f>VLOOKUP($A$2,osobni!$F$31:$EQ$44,osobni!DF$3,FALSE)</f>
        <v>0</v>
      </c>
      <c r="Y60" s="235">
        <f>VLOOKUP($A$2,osobni!$F$31:$EQ$44,osobni!DG$3,FALSE)</f>
        <v>0</v>
      </c>
      <c r="Z60" s="235">
        <f>VLOOKUP($A$2,osobni!$F$31:$EQ$44,osobni!DH$3,FALSE)</f>
        <v>0</v>
      </c>
      <c r="AA60" s="235">
        <f>VLOOKUP($A$2,osobni!$F$31:$EQ$44,osobni!DI$3,FALSE)</f>
        <v>0</v>
      </c>
      <c r="AB60" s="235">
        <f>VLOOKUP($A$2,osobni!$F$31:$EQ$44,osobni!DJ$3,FALSE)</f>
        <v>0</v>
      </c>
      <c r="AC60" s="235">
        <f>VLOOKUP($A$2,osobni!$F$31:$EQ$44,osobni!DK$3,FALSE)</f>
        <v>0</v>
      </c>
      <c r="AD60" s="235">
        <f>VLOOKUP($A$2,osobni!$F$31:$EQ$44,osobni!DL$3,FALSE)</f>
        <v>0</v>
      </c>
      <c r="AE60" s="235">
        <f>VLOOKUP($A$2,osobni!$F$31:$EQ$44,osobni!DM$3,FALSE)</f>
        <v>0</v>
      </c>
      <c r="AF60" s="235">
        <f>VLOOKUP($A$2,osobni!$F$31:$EQ$44,osobni!DN$3,FALSE)</f>
        <v>0</v>
      </c>
      <c r="AG60" s="44">
        <f t="shared" si="30"/>
        <v>0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0</v>
      </c>
      <c r="V61" s="41">
        <f t="shared" si="40"/>
        <v>0</v>
      </c>
      <c r="W61" s="41">
        <f t="shared" si="40"/>
        <v>0</v>
      </c>
      <c r="X61" s="41">
        <f t="shared" si="40"/>
        <v>0</v>
      </c>
      <c r="Y61" s="41">
        <f t="shared" si="40"/>
        <v>0</v>
      </c>
      <c r="Z61" s="41">
        <f t="shared" si="40"/>
        <v>0</v>
      </c>
      <c r="AA61" s="41">
        <f t="shared" si="40"/>
        <v>0</v>
      </c>
      <c r="AB61" s="41">
        <f t="shared" si="40"/>
        <v>0</v>
      </c>
      <c r="AC61" s="41">
        <f t="shared" si="40"/>
        <v>0</v>
      </c>
      <c r="AD61" s="41">
        <f t="shared" si="40"/>
        <v>0</v>
      </c>
      <c r="AE61" s="41">
        <f t="shared" si="40"/>
        <v>0</v>
      </c>
      <c r="AF61" s="41">
        <f t="shared" si="40"/>
        <v>0</v>
      </c>
      <c r="AG61" s="41">
        <f t="shared" si="30"/>
        <v>0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-5000</v>
      </c>
      <c r="V64" s="63">
        <f t="shared" si="43"/>
        <v>-5000</v>
      </c>
      <c r="W64" s="63">
        <f t="shared" si="43"/>
        <v>-5000</v>
      </c>
      <c r="X64" s="63">
        <f t="shared" si="43"/>
        <v>-5000</v>
      </c>
      <c r="Y64" s="63">
        <f t="shared" si="43"/>
        <v>-5000</v>
      </c>
      <c r="Z64" s="63">
        <f t="shared" si="43"/>
        <v>-5000</v>
      </c>
      <c r="AA64" s="63">
        <f t="shared" si="43"/>
        <v>-5000</v>
      </c>
      <c r="AB64" s="63">
        <f t="shared" si="43"/>
        <v>-5000</v>
      </c>
      <c r="AC64" s="63">
        <f t="shared" si="43"/>
        <v>-5000</v>
      </c>
      <c r="AD64" s="63">
        <f t="shared" si="43"/>
        <v>-5000</v>
      </c>
      <c r="AE64" s="63">
        <f t="shared" si="43"/>
        <v>-5000</v>
      </c>
      <c r="AF64" s="63">
        <f t="shared" si="43"/>
        <v>-5000</v>
      </c>
      <c r="AG64" s="63">
        <f t="shared" si="30"/>
        <v>-60000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7">C64-C66+C67</f>
        <v>0</v>
      </c>
      <c r="D68" s="72">
        <f t="shared" si="47"/>
        <v>0</v>
      </c>
      <c r="E68" s="72">
        <f t="shared" si="47"/>
        <v>0</v>
      </c>
      <c r="G68" s="72">
        <f t="shared" ref="G68:R68" si="48">G64-G66+G67</f>
        <v>0</v>
      </c>
      <c r="H68" s="72">
        <f t="shared" si="48"/>
        <v>0</v>
      </c>
      <c r="I68" s="72">
        <f t="shared" si="48"/>
        <v>0</v>
      </c>
      <c r="J68" s="72">
        <f t="shared" si="48"/>
        <v>0</v>
      </c>
      <c r="K68" s="72">
        <f t="shared" si="48"/>
        <v>0</v>
      </c>
      <c r="L68" s="72">
        <f t="shared" si="48"/>
        <v>0</v>
      </c>
      <c r="M68" s="72">
        <f t="shared" si="48"/>
        <v>0</v>
      </c>
      <c r="N68" s="72">
        <f t="shared" si="48"/>
        <v>0</v>
      </c>
      <c r="O68" s="72">
        <f t="shared" si="48"/>
        <v>0</v>
      </c>
      <c r="P68" s="72">
        <f t="shared" si="48"/>
        <v>0</v>
      </c>
      <c r="Q68" s="72">
        <f t="shared" si="48"/>
        <v>0</v>
      </c>
      <c r="R68" s="72">
        <f t="shared" si="48"/>
        <v>0</v>
      </c>
      <c r="S68" s="72">
        <f>SUM(G68:R68)</f>
        <v>0</v>
      </c>
      <c r="T68" s="96"/>
      <c r="U68" s="72">
        <f t="shared" ref="U68:AF68" si="49">U64-U66+U67</f>
        <v>-5000</v>
      </c>
      <c r="V68" s="72">
        <f t="shared" si="49"/>
        <v>-5000</v>
      </c>
      <c r="W68" s="72">
        <f t="shared" si="49"/>
        <v>-5000</v>
      </c>
      <c r="X68" s="72">
        <f t="shared" si="49"/>
        <v>-5000</v>
      </c>
      <c r="Y68" s="72">
        <f t="shared" si="49"/>
        <v>-5000</v>
      </c>
      <c r="Z68" s="72">
        <f t="shared" si="49"/>
        <v>-5000</v>
      </c>
      <c r="AA68" s="72">
        <f t="shared" si="49"/>
        <v>-5000</v>
      </c>
      <c r="AB68" s="72">
        <f t="shared" si="49"/>
        <v>-5000</v>
      </c>
      <c r="AC68" s="72">
        <f t="shared" si="49"/>
        <v>-5000</v>
      </c>
      <c r="AD68" s="72">
        <f t="shared" si="49"/>
        <v>-5000</v>
      </c>
      <c r="AE68" s="72">
        <f t="shared" si="49"/>
        <v>-5000</v>
      </c>
      <c r="AF68" s="72">
        <f t="shared" si="49"/>
        <v>-5000</v>
      </c>
      <c r="AG68" s="72">
        <f>SUM(U68:AF68)</f>
        <v>-60000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0">C68-C69</f>
        <v>0</v>
      </c>
      <c r="D70" s="78">
        <f t="shared" si="50"/>
        <v>0</v>
      </c>
      <c r="E70" s="78">
        <f t="shared" si="50"/>
        <v>0</v>
      </c>
      <c r="G70" s="78">
        <f t="shared" ref="G70:R70" si="51">G68-G69</f>
        <v>0</v>
      </c>
      <c r="H70" s="78">
        <f t="shared" si="51"/>
        <v>0</v>
      </c>
      <c r="I70" s="78">
        <f t="shared" si="51"/>
        <v>0</v>
      </c>
      <c r="J70" s="78">
        <f t="shared" si="51"/>
        <v>0</v>
      </c>
      <c r="K70" s="78">
        <f t="shared" si="51"/>
        <v>0</v>
      </c>
      <c r="L70" s="78">
        <f t="shared" si="51"/>
        <v>0</v>
      </c>
      <c r="M70" s="78">
        <f t="shared" si="51"/>
        <v>0</v>
      </c>
      <c r="N70" s="78">
        <f t="shared" si="51"/>
        <v>0</v>
      </c>
      <c r="O70" s="78">
        <f t="shared" si="51"/>
        <v>0</v>
      </c>
      <c r="P70" s="78">
        <f t="shared" si="51"/>
        <v>0</v>
      </c>
      <c r="Q70" s="78">
        <f t="shared" si="51"/>
        <v>0</v>
      </c>
      <c r="R70" s="78">
        <f t="shared" si="51"/>
        <v>0</v>
      </c>
      <c r="S70" s="78">
        <f>SUM(G70:R70)</f>
        <v>0</v>
      </c>
      <c r="T70" s="96"/>
      <c r="U70" s="78">
        <f t="shared" ref="U70:AF70" si="52">U68-U69</f>
        <v>-5000</v>
      </c>
      <c r="V70" s="78">
        <f t="shared" si="52"/>
        <v>-5000</v>
      </c>
      <c r="W70" s="78">
        <f t="shared" si="52"/>
        <v>-5000</v>
      </c>
      <c r="X70" s="78">
        <f t="shared" si="52"/>
        <v>-5000</v>
      </c>
      <c r="Y70" s="78">
        <f t="shared" si="52"/>
        <v>-5000</v>
      </c>
      <c r="Z70" s="78">
        <f t="shared" si="52"/>
        <v>-5000</v>
      </c>
      <c r="AA70" s="78">
        <f t="shared" si="52"/>
        <v>-5000</v>
      </c>
      <c r="AB70" s="78">
        <f t="shared" si="52"/>
        <v>-5000</v>
      </c>
      <c r="AC70" s="78">
        <f t="shared" si="52"/>
        <v>-5000</v>
      </c>
      <c r="AD70" s="78">
        <f t="shared" si="52"/>
        <v>-5000</v>
      </c>
      <c r="AE70" s="78">
        <f t="shared" si="52"/>
        <v>-5000</v>
      </c>
      <c r="AF70" s="78">
        <f t="shared" si="52"/>
        <v>-5000</v>
      </c>
      <c r="AG70" s="78">
        <f>SUM(U70:AF70)</f>
        <v>-60000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3">C70/C10</f>
        <v>#DIV/0!</v>
      </c>
      <c r="D71" s="80" t="e">
        <f t="shared" si="53"/>
        <v>#DIV/0!</v>
      </c>
      <c r="E71" s="80" t="e">
        <f t="shared" si="53"/>
        <v>#DIV/0!</v>
      </c>
      <c r="G71" s="80" t="e">
        <f t="shared" ref="G71:S71" si="54">G70/G10</f>
        <v>#DIV/0!</v>
      </c>
      <c r="H71" s="80" t="e">
        <f t="shared" si="54"/>
        <v>#DIV/0!</v>
      </c>
      <c r="I71" s="80" t="e">
        <f t="shared" si="54"/>
        <v>#DIV/0!</v>
      </c>
      <c r="J71" s="80" t="e">
        <f t="shared" si="54"/>
        <v>#DIV/0!</v>
      </c>
      <c r="K71" s="80" t="e">
        <f t="shared" si="54"/>
        <v>#DIV/0!</v>
      </c>
      <c r="L71" s="80" t="e">
        <f t="shared" si="54"/>
        <v>#DIV/0!</v>
      </c>
      <c r="M71" s="80" t="e">
        <f t="shared" si="54"/>
        <v>#DIV/0!</v>
      </c>
      <c r="N71" s="80" t="e">
        <f t="shared" si="54"/>
        <v>#DIV/0!</v>
      </c>
      <c r="O71" s="80" t="e">
        <f t="shared" si="54"/>
        <v>#DIV/0!</v>
      </c>
      <c r="P71" s="80" t="e">
        <f t="shared" si="54"/>
        <v>#DIV/0!</v>
      </c>
      <c r="Q71" s="80" t="e">
        <f t="shared" si="54"/>
        <v>#DIV/0!</v>
      </c>
      <c r="R71" s="80" t="e">
        <f t="shared" si="54"/>
        <v>#DIV/0!</v>
      </c>
      <c r="S71" s="80" t="e">
        <f t="shared" si="54"/>
        <v>#DIV/0!</v>
      </c>
      <c r="U71" s="80" t="e">
        <f t="shared" ref="U71:AG71" si="55">U70/U10</f>
        <v>#DIV/0!</v>
      </c>
      <c r="V71" s="80" t="e">
        <f t="shared" si="55"/>
        <v>#DIV/0!</v>
      </c>
      <c r="W71" s="80" t="e">
        <f t="shared" si="55"/>
        <v>#DIV/0!</v>
      </c>
      <c r="X71" s="80" t="e">
        <f t="shared" si="55"/>
        <v>#DIV/0!</v>
      </c>
      <c r="Y71" s="80" t="e">
        <f t="shared" si="55"/>
        <v>#DIV/0!</v>
      </c>
      <c r="Z71" s="80" t="e">
        <f t="shared" si="55"/>
        <v>#DIV/0!</v>
      </c>
      <c r="AA71" s="80" t="e">
        <f t="shared" si="55"/>
        <v>#DIV/0!</v>
      </c>
      <c r="AB71" s="80" t="e">
        <f t="shared" si="55"/>
        <v>#DIV/0!</v>
      </c>
      <c r="AC71" s="80" t="e">
        <f t="shared" si="55"/>
        <v>#DIV/0!</v>
      </c>
      <c r="AD71" s="80" t="e">
        <f t="shared" si="55"/>
        <v>#DIV/0!</v>
      </c>
      <c r="AE71" s="80" t="e">
        <f t="shared" si="55"/>
        <v>#DIV/0!</v>
      </c>
      <c r="AF71" s="80" t="e">
        <f t="shared" si="55"/>
        <v>#DIV/0!</v>
      </c>
      <c r="AG71" s="80" t="e">
        <f t="shared" si="55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6">C64+C73</f>
        <v>0</v>
      </c>
      <c r="D74" s="84">
        <f t="shared" si="56"/>
        <v>0</v>
      </c>
      <c r="E74" s="84">
        <f t="shared" si="56"/>
        <v>0</v>
      </c>
      <c r="G74" s="84">
        <f t="shared" ref="G74:R74" si="57">G64+G73</f>
        <v>0</v>
      </c>
      <c r="H74" s="84">
        <f t="shared" si="57"/>
        <v>0</v>
      </c>
      <c r="I74" s="84">
        <f t="shared" si="57"/>
        <v>0</v>
      </c>
      <c r="J74" s="84">
        <f t="shared" si="57"/>
        <v>0</v>
      </c>
      <c r="K74" s="84">
        <f t="shared" si="57"/>
        <v>0</v>
      </c>
      <c r="L74" s="84">
        <f t="shared" si="57"/>
        <v>0</v>
      </c>
      <c r="M74" s="84">
        <f t="shared" si="57"/>
        <v>0</v>
      </c>
      <c r="N74" s="84">
        <f t="shared" si="57"/>
        <v>0</v>
      </c>
      <c r="O74" s="84">
        <f t="shared" si="57"/>
        <v>0</v>
      </c>
      <c r="P74" s="84">
        <f t="shared" si="57"/>
        <v>0</v>
      </c>
      <c r="Q74" s="84">
        <f t="shared" si="57"/>
        <v>0</v>
      </c>
      <c r="R74" s="84">
        <f t="shared" si="57"/>
        <v>0</v>
      </c>
      <c r="S74" s="84">
        <f>SUM(G74:R74)</f>
        <v>0</v>
      </c>
      <c r="U74" s="84">
        <f t="shared" ref="U74:AF74" si="58">U64+U73</f>
        <v>-5000</v>
      </c>
      <c r="V74" s="84">
        <f t="shared" si="58"/>
        <v>-5000</v>
      </c>
      <c r="W74" s="84">
        <f t="shared" si="58"/>
        <v>-5000</v>
      </c>
      <c r="X74" s="84">
        <f t="shared" si="58"/>
        <v>-5000</v>
      </c>
      <c r="Y74" s="84">
        <f t="shared" si="58"/>
        <v>-5000</v>
      </c>
      <c r="Z74" s="84">
        <f t="shared" si="58"/>
        <v>-5000</v>
      </c>
      <c r="AA74" s="84">
        <f t="shared" si="58"/>
        <v>-5000</v>
      </c>
      <c r="AB74" s="84">
        <f t="shared" si="58"/>
        <v>-5000</v>
      </c>
      <c r="AC74" s="84">
        <f t="shared" si="58"/>
        <v>-5000</v>
      </c>
      <c r="AD74" s="84">
        <f t="shared" si="58"/>
        <v>-5000</v>
      </c>
      <c r="AE74" s="84">
        <f t="shared" si="58"/>
        <v>-5000</v>
      </c>
      <c r="AF74" s="84">
        <f t="shared" si="58"/>
        <v>-5000</v>
      </c>
      <c r="AG74" s="84">
        <f>SUM(U74:AF74)</f>
        <v>-60000</v>
      </c>
    </row>
    <row r="75" spans="1:33" s="110" customFormat="1">
      <c r="A75" s="85">
        <v>9790</v>
      </c>
      <c r="B75" s="86" t="s">
        <v>129</v>
      </c>
      <c r="C75" s="56" t="e">
        <f t="shared" ref="C75:E75" si="59">C74/C10</f>
        <v>#DIV/0!</v>
      </c>
      <c r="D75" s="56" t="e">
        <f t="shared" si="59"/>
        <v>#DIV/0!</v>
      </c>
      <c r="E75" s="56" t="e">
        <f t="shared" si="59"/>
        <v>#DIV/0!</v>
      </c>
      <c r="G75" s="56" t="e">
        <f t="shared" ref="G75:S75" si="60">G74/G10</f>
        <v>#DIV/0!</v>
      </c>
      <c r="H75" s="56" t="e">
        <f t="shared" si="60"/>
        <v>#DIV/0!</v>
      </c>
      <c r="I75" s="56" t="e">
        <f t="shared" si="60"/>
        <v>#DIV/0!</v>
      </c>
      <c r="J75" s="56" t="e">
        <f t="shared" si="60"/>
        <v>#DIV/0!</v>
      </c>
      <c r="K75" s="56" t="e">
        <f t="shared" si="60"/>
        <v>#DIV/0!</v>
      </c>
      <c r="L75" s="56" t="e">
        <f t="shared" si="60"/>
        <v>#DIV/0!</v>
      </c>
      <c r="M75" s="56" t="e">
        <f t="shared" si="60"/>
        <v>#DIV/0!</v>
      </c>
      <c r="N75" s="56" t="e">
        <f t="shared" si="60"/>
        <v>#DIV/0!</v>
      </c>
      <c r="O75" s="56" t="e">
        <f t="shared" si="60"/>
        <v>#DIV/0!</v>
      </c>
      <c r="P75" s="56" t="e">
        <f t="shared" si="60"/>
        <v>#DIV/0!</v>
      </c>
      <c r="Q75" s="56" t="e">
        <f t="shared" si="60"/>
        <v>#DIV/0!</v>
      </c>
      <c r="R75" s="56" t="e">
        <f t="shared" si="60"/>
        <v>#DIV/0!</v>
      </c>
      <c r="S75" s="56" t="e">
        <f t="shared" si="60"/>
        <v>#DIV/0!</v>
      </c>
      <c r="T75" s="109"/>
      <c r="U75" s="56" t="e">
        <f t="shared" ref="U75:AG75" si="61">U74/U10</f>
        <v>#DIV/0!</v>
      </c>
      <c r="V75" s="56" t="e">
        <f t="shared" si="61"/>
        <v>#DIV/0!</v>
      </c>
      <c r="W75" s="56" t="e">
        <f t="shared" si="61"/>
        <v>#DIV/0!</v>
      </c>
      <c r="X75" s="56" t="e">
        <f t="shared" si="61"/>
        <v>#DIV/0!</v>
      </c>
      <c r="Y75" s="56" t="e">
        <f t="shared" si="61"/>
        <v>#DIV/0!</v>
      </c>
      <c r="Z75" s="56" t="e">
        <f t="shared" si="61"/>
        <v>#DIV/0!</v>
      </c>
      <c r="AA75" s="56" t="e">
        <f t="shared" si="61"/>
        <v>#DIV/0!</v>
      </c>
      <c r="AB75" s="56" t="e">
        <f t="shared" si="61"/>
        <v>#DIV/0!</v>
      </c>
      <c r="AC75" s="56" t="e">
        <f t="shared" si="61"/>
        <v>#DIV/0!</v>
      </c>
      <c r="AD75" s="56" t="e">
        <f t="shared" si="61"/>
        <v>#DIV/0!</v>
      </c>
      <c r="AE75" s="56" t="e">
        <f t="shared" si="61"/>
        <v>#DIV/0!</v>
      </c>
      <c r="AF75" s="56" t="e">
        <f t="shared" si="61"/>
        <v>#DIV/0!</v>
      </c>
      <c r="AG75" s="56" t="e">
        <f t="shared" si="61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W5" activePane="bottomRight" state="frozen"/>
      <selection activeCell="W50" sqref="W50"/>
      <selection pane="topRight" activeCell="W50" sqref="W50"/>
      <selection pane="bottomLeft" activeCell="W50" sqref="W50"/>
      <selection pane="bottomRight" activeCell="B38" sqref="B38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1.42578125" style="45" customWidth="1"/>
    <col min="21" max="32" width="11.140625" style="45" customWidth="1" outlineLevel="1"/>
    <col min="33" max="33" width="11.140625" style="45" customWidth="1"/>
    <col min="34" max="16384" width="10.85546875" style="45"/>
  </cols>
  <sheetData>
    <row r="1" spans="1:33" s="88" customFormat="1">
      <c r="A1" s="36"/>
      <c r="B1" s="37" t="s">
        <v>77</v>
      </c>
    </row>
    <row r="2" spans="1:33" s="90" customFormat="1">
      <c r="A2" s="231">
        <v>7300</v>
      </c>
      <c r="B2" s="232" t="s">
        <v>70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87"/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</row>
    <row r="3" spans="1:33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87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</row>
    <row r="4" spans="1:33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87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</row>
    <row r="5" spans="1:33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</row>
    <row r="6" spans="1:33" s="96" customFormat="1" hidden="1" outlineLevel="1">
      <c r="A6" s="39">
        <v>1200</v>
      </c>
      <c r="B6" s="40" t="s">
        <v>81</v>
      </c>
      <c r="C6" s="41">
        <v>0</v>
      </c>
      <c r="D6" s="41">
        <v>0</v>
      </c>
      <c r="E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f t="shared" si="0"/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f t="shared" si="1"/>
        <v>0</v>
      </c>
    </row>
    <row r="7" spans="1:33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</row>
    <row r="8" spans="1:33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3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3" s="96" customFormat="1" hidden="1" outlineLevel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0</v>
      </c>
      <c r="J10" s="107">
        <f t="shared" si="3"/>
        <v>0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0</v>
      </c>
      <c r="U10" s="107">
        <f t="shared" ref="U10:AF10" si="4">SUM(U5:U9)</f>
        <v>0</v>
      </c>
      <c r="V10" s="107">
        <f t="shared" si="4"/>
        <v>0</v>
      </c>
      <c r="W10" s="107">
        <f t="shared" si="4"/>
        <v>0</v>
      </c>
      <c r="X10" s="107">
        <f t="shared" si="4"/>
        <v>0</v>
      </c>
      <c r="Y10" s="107">
        <f t="shared" si="4"/>
        <v>0</v>
      </c>
      <c r="Z10" s="107">
        <f t="shared" si="4"/>
        <v>0</v>
      </c>
      <c r="AA10" s="107">
        <f t="shared" si="4"/>
        <v>0</v>
      </c>
      <c r="AB10" s="107">
        <f t="shared" si="4"/>
        <v>0</v>
      </c>
      <c r="AC10" s="107">
        <f t="shared" si="4"/>
        <v>0</v>
      </c>
      <c r="AD10" s="107">
        <f t="shared" si="4"/>
        <v>0</v>
      </c>
      <c r="AE10" s="107">
        <f t="shared" si="4"/>
        <v>0</v>
      </c>
      <c r="AF10" s="107">
        <f t="shared" si="4"/>
        <v>0</v>
      </c>
      <c r="AG10" s="107">
        <f t="shared" si="1"/>
        <v>0</v>
      </c>
    </row>
    <row r="11" spans="1:33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3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3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3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3" s="96" customFormat="1" ht="26.1" hidden="1" customHeight="1" outlineLevel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f t="shared" si="1"/>
        <v>0</v>
      </c>
    </row>
    <row r="16" spans="1:33" s="96" customFormat="1" hidden="1" outlineLevel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f t="shared" si="1"/>
        <v>0</v>
      </c>
    </row>
    <row r="17" spans="1:43" s="96" customFormat="1" hidden="1" collapsed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f t="shared" si="1"/>
        <v>0</v>
      </c>
    </row>
    <row r="18" spans="1:43" s="96" customFormat="1" hidden="1">
      <c r="A18" s="45">
        <v>9120</v>
      </c>
      <c r="B18" s="46" t="s">
        <v>92</v>
      </c>
      <c r="C18" s="107">
        <f t="shared" ref="C18:E18" si="8">SUM(C15:C17)</f>
        <v>0</v>
      </c>
      <c r="D18" s="107">
        <f t="shared" si="8"/>
        <v>0</v>
      </c>
      <c r="E18" s="107">
        <f t="shared" si="8"/>
        <v>0</v>
      </c>
      <c r="G18" s="107">
        <f t="shared" ref="G18:R18" si="9">SUM(G15:G17)</f>
        <v>0</v>
      </c>
      <c r="H18" s="107">
        <f t="shared" si="9"/>
        <v>0</v>
      </c>
      <c r="I18" s="107">
        <f t="shared" si="9"/>
        <v>0</v>
      </c>
      <c r="J18" s="107">
        <f t="shared" si="9"/>
        <v>0</v>
      </c>
      <c r="K18" s="107">
        <f t="shared" si="9"/>
        <v>0</v>
      </c>
      <c r="L18" s="107">
        <f t="shared" si="9"/>
        <v>0</v>
      </c>
      <c r="M18" s="107">
        <f t="shared" si="9"/>
        <v>0</v>
      </c>
      <c r="N18" s="107">
        <f t="shared" si="9"/>
        <v>0</v>
      </c>
      <c r="O18" s="107">
        <f t="shared" si="9"/>
        <v>0</v>
      </c>
      <c r="P18" s="107">
        <f t="shared" si="9"/>
        <v>0</v>
      </c>
      <c r="Q18" s="107">
        <f t="shared" si="9"/>
        <v>0</v>
      </c>
      <c r="R18" s="107">
        <f t="shared" si="9"/>
        <v>0</v>
      </c>
      <c r="S18" s="107">
        <f t="shared" si="0"/>
        <v>0</v>
      </c>
      <c r="U18" s="107">
        <f t="shared" ref="U18:AF18" si="10">SUM(U15:U17)</f>
        <v>0</v>
      </c>
      <c r="V18" s="107">
        <f t="shared" si="10"/>
        <v>0</v>
      </c>
      <c r="W18" s="107">
        <f t="shared" si="10"/>
        <v>0</v>
      </c>
      <c r="X18" s="107">
        <f t="shared" si="10"/>
        <v>0</v>
      </c>
      <c r="Y18" s="107">
        <f t="shared" si="10"/>
        <v>0</v>
      </c>
      <c r="Z18" s="107">
        <f t="shared" si="10"/>
        <v>0</v>
      </c>
      <c r="AA18" s="107">
        <f t="shared" si="10"/>
        <v>0</v>
      </c>
      <c r="AB18" s="107">
        <f t="shared" si="10"/>
        <v>0</v>
      </c>
      <c r="AC18" s="107">
        <f t="shared" si="10"/>
        <v>0</v>
      </c>
      <c r="AD18" s="107">
        <f t="shared" si="10"/>
        <v>0</v>
      </c>
      <c r="AE18" s="107">
        <f t="shared" si="10"/>
        <v>0</v>
      </c>
      <c r="AF18" s="107">
        <f t="shared" si="10"/>
        <v>0</v>
      </c>
      <c r="AG18" s="107">
        <f t="shared" si="1"/>
        <v>0</v>
      </c>
    </row>
    <row r="19" spans="1:43" s="96" customFormat="1" hidden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1">SUM(C14,C18,C19,C20)</f>
        <v>0</v>
      </c>
      <c r="D21" s="107">
        <f t="shared" si="11"/>
        <v>0</v>
      </c>
      <c r="E21" s="107">
        <f t="shared" si="11"/>
        <v>0</v>
      </c>
      <c r="G21" s="107">
        <f t="shared" ref="G21:R21" si="12">SUM(G14,G18,G19,G20)</f>
        <v>0</v>
      </c>
      <c r="H21" s="107">
        <f t="shared" si="12"/>
        <v>0</v>
      </c>
      <c r="I21" s="107">
        <f t="shared" si="12"/>
        <v>0</v>
      </c>
      <c r="J21" s="107">
        <f t="shared" si="12"/>
        <v>0</v>
      </c>
      <c r="K21" s="107">
        <f t="shared" si="12"/>
        <v>0</v>
      </c>
      <c r="L21" s="107">
        <f t="shared" si="12"/>
        <v>0</v>
      </c>
      <c r="M21" s="107">
        <f t="shared" si="12"/>
        <v>0</v>
      </c>
      <c r="N21" s="107">
        <f t="shared" si="12"/>
        <v>0</v>
      </c>
      <c r="O21" s="107">
        <f t="shared" si="12"/>
        <v>0</v>
      </c>
      <c r="P21" s="107">
        <f t="shared" si="12"/>
        <v>0</v>
      </c>
      <c r="Q21" s="107">
        <f t="shared" si="12"/>
        <v>0</v>
      </c>
      <c r="R21" s="107">
        <f t="shared" si="12"/>
        <v>0</v>
      </c>
      <c r="S21" s="107">
        <f t="shared" si="0"/>
        <v>0</v>
      </c>
      <c r="U21" s="107">
        <f t="shared" ref="U21:AF21" si="13">SUM(U14,U18,U19,U20)</f>
        <v>0</v>
      </c>
      <c r="V21" s="107">
        <f t="shared" si="13"/>
        <v>0</v>
      </c>
      <c r="W21" s="107">
        <f t="shared" si="13"/>
        <v>0</v>
      </c>
      <c r="X21" s="107">
        <f t="shared" si="13"/>
        <v>0</v>
      </c>
      <c r="Y21" s="107">
        <f t="shared" si="13"/>
        <v>0</v>
      </c>
      <c r="Z21" s="107">
        <f t="shared" si="13"/>
        <v>0</v>
      </c>
      <c r="AA21" s="107">
        <f t="shared" si="13"/>
        <v>0</v>
      </c>
      <c r="AB21" s="107">
        <f t="shared" si="13"/>
        <v>0</v>
      </c>
      <c r="AC21" s="107">
        <f t="shared" si="13"/>
        <v>0</v>
      </c>
      <c r="AD21" s="107">
        <f t="shared" si="13"/>
        <v>0</v>
      </c>
      <c r="AE21" s="107">
        <f t="shared" si="13"/>
        <v>0</v>
      </c>
      <c r="AF21" s="107">
        <f t="shared" si="13"/>
        <v>0</v>
      </c>
      <c r="AG21" s="107">
        <f t="shared" si="1"/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4">P5-P14</f>
        <v>0</v>
      </c>
      <c r="Q22" s="51">
        <f t="shared" si="14"/>
        <v>0</v>
      </c>
      <c r="R22" s="51">
        <f t="shared" si="14"/>
        <v>0</v>
      </c>
      <c r="S22" s="51">
        <f t="shared" si="0"/>
        <v>0</v>
      </c>
      <c r="U22" s="51">
        <f t="shared" ref="U22:AF22" si="15">U5-U14</f>
        <v>0</v>
      </c>
      <c r="V22" s="51">
        <f t="shared" si="15"/>
        <v>0</v>
      </c>
      <c r="W22" s="51">
        <f t="shared" si="15"/>
        <v>0</v>
      </c>
      <c r="X22" s="51">
        <f t="shared" si="15"/>
        <v>0</v>
      </c>
      <c r="Y22" s="51">
        <f t="shared" si="15"/>
        <v>0</v>
      </c>
      <c r="Z22" s="51">
        <f t="shared" si="15"/>
        <v>0</v>
      </c>
      <c r="AA22" s="51">
        <f t="shared" si="15"/>
        <v>0</v>
      </c>
      <c r="AB22" s="51">
        <f t="shared" si="15"/>
        <v>0</v>
      </c>
      <c r="AC22" s="51">
        <f t="shared" si="15"/>
        <v>0</v>
      </c>
      <c r="AD22" s="51">
        <f t="shared" si="15"/>
        <v>0</v>
      </c>
      <c r="AE22" s="51">
        <f t="shared" si="15"/>
        <v>0</v>
      </c>
      <c r="AF22" s="51">
        <f t="shared" si="15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6">P6-P18</f>
        <v>0</v>
      </c>
      <c r="Q23" s="51">
        <f t="shared" si="16"/>
        <v>0</v>
      </c>
      <c r="R23" s="51">
        <f t="shared" si="16"/>
        <v>0</v>
      </c>
      <c r="S23" s="51">
        <f t="shared" si="0"/>
        <v>0</v>
      </c>
      <c r="U23" s="51">
        <f t="shared" ref="U23:AF25" si="17">U6-U18</f>
        <v>0</v>
      </c>
      <c r="V23" s="51">
        <f t="shared" si="17"/>
        <v>0</v>
      </c>
      <c r="W23" s="51">
        <f t="shared" si="17"/>
        <v>0</v>
      </c>
      <c r="X23" s="51">
        <f t="shared" si="17"/>
        <v>0</v>
      </c>
      <c r="Y23" s="51">
        <f t="shared" si="17"/>
        <v>0</v>
      </c>
      <c r="Z23" s="51">
        <f t="shared" si="17"/>
        <v>0</v>
      </c>
      <c r="AA23" s="51">
        <f t="shared" si="17"/>
        <v>0</v>
      </c>
      <c r="AB23" s="51">
        <f t="shared" si="17"/>
        <v>0</v>
      </c>
      <c r="AC23" s="51">
        <f t="shared" si="17"/>
        <v>0</v>
      </c>
      <c r="AD23" s="51">
        <f t="shared" si="17"/>
        <v>0</v>
      </c>
      <c r="AE23" s="51">
        <f t="shared" si="17"/>
        <v>0</v>
      </c>
      <c r="AF23" s="51">
        <f t="shared" si="17"/>
        <v>0</v>
      </c>
      <c r="AG23" s="51">
        <f t="shared" si="1"/>
        <v>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6"/>
        <v>0</v>
      </c>
      <c r="Q24" s="51">
        <f t="shared" si="16"/>
        <v>0</v>
      </c>
      <c r="R24" s="51">
        <f t="shared" si="16"/>
        <v>0</v>
      </c>
      <c r="S24" s="51">
        <f t="shared" si="0"/>
        <v>0</v>
      </c>
      <c r="U24" s="51">
        <f t="shared" si="17"/>
        <v>0</v>
      </c>
      <c r="V24" s="51">
        <f t="shared" si="17"/>
        <v>0</v>
      </c>
      <c r="W24" s="51">
        <f t="shared" si="17"/>
        <v>0</v>
      </c>
      <c r="X24" s="51">
        <f t="shared" si="17"/>
        <v>0</v>
      </c>
      <c r="Y24" s="51">
        <f t="shared" si="17"/>
        <v>0</v>
      </c>
      <c r="Z24" s="51">
        <f t="shared" si="17"/>
        <v>0</v>
      </c>
      <c r="AA24" s="51">
        <f t="shared" si="17"/>
        <v>0</v>
      </c>
      <c r="AB24" s="51">
        <f t="shared" si="17"/>
        <v>0</v>
      </c>
      <c r="AC24" s="51">
        <f t="shared" si="17"/>
        <v>0</v>
      </c>
      <c r="AD24" s="51">
        <f t="shared" si="17"/>
        <v>0</v>
      </c>
      <c r="AE24" s="51">
        <f t="shared" si="17"/>
        <v>0</v>
      </c>
      <c r="AF24" s="51">
        <f t="shared" si="17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6"/>
        <v>0</v>
      </c>
      <c r="Q25" s="51">
        <f t="shared" si="16"/>
        <v>0</v>
      </c>
      <c r="R25" s="51">
        <f t="shared" si="16"/>
        <v>0</v>
      </c>
      <c r="S25" s="51">
        <f t="shared" si="0"/>
        <v>0</v>
      </c>
      <c r="U25" s="51">
        <f t="shared" si="17"/>
        <v>0</v>
      </c>
      <c r="V25" s="51">
        <f t="shared" si="17"/>
        <v>0</v>
      </c>
      <c r="W25" s="51">
        <f t="shared" si="17"/>
        <v>0</v>
      </c>
      <c r="X25" s="51">
        <f t="shared" si="17"/>
        <v>0</v>
      </c>
      <c r="Y25" s="51">
        <f t="shared" si="17"/>
        <v>0</v>
      </c>
      <c r="Z25" s="51">
        <f t="shared" si="17"/>
        <v>0</v>
      </c>
      <c r="AA25" s="51">
        <f t="shared" si="17"/>
        <v>0</v>
      </c>
      <c r="AB25" s="51">
        <f t="shared" si="17"/>
        <v>0</v>
      </c>
      <c r="AC25" s="51">
        <f t="shared" si="17"/>
        <v>0</v>
      </c>
      <c r="AD25" s="51">
        <f t="shared" si="17"/>
        <v>0</v>
      </c>
      <c r="AE25" s="51">
        <f t="shared" si="17"/>
        <v>0</v>
      </c>
      <c r="AF25" s="51">
        <f t="shared" si="17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18">Q9</f>
        <v>0</v>
      </c>
      <c r="R26" s="51">
        <f t="shared" si="18"/>
        <v>0</v>
      </c>
      <c r="S26" s="51">
        <f t="shared" si="18"/>
        <v>0</v>
      </c>
      <c r="U26" s="51">
        <f t="shared" ref="U26:AF26" si="19">U9</f>
        <v>0</v>
      </c>
      <c r="V26" s="51">
        <f t="shared" si="19"/>
        <v>0</v>
      </c>
      <c r="W26" s="51">
        <f t="shared" si="19"/>
        <v>0</v>
      </c>
      <c r="X26" s="51">
        <f t="shared" si="19"/>
        <v>0</v>
      </c>
      <c r="Y26" s="51">
        <f t="shared" si="19"/>
        <v>0</v>
      </c>
      <c r="Z26" s="51">
        <f t="shared" si="19"/>
        <v>0</v>
      </c>
      <c r="AA26" s="51">
        <f t="shared" si="19"/>
        <v>0</v>
      </c>
      <c r="AB26" s="51">
        <f t="shared" si="19"/>
        <v>0</v>
      </c>
      <c r="AC26" s="51">
        <f t="shared" si="19"/>
        <v>0</v>
      </c>
      <c r="AD26" s="51">
        <f t="shared" si="19"/>
        <v>0</v>
      </c>
      <c r="AE26" s="51">
        <f t="shared" si="19"/>
        <v>0</v>
      </c>
      <c r="AF26" s="51">
        <f t="shared" si="19"/>
        <v>0</v>
      </c>
      <c r="AG26" s="51">
        <f t="shared" ref="AG26" si="20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idden="1">
      <c r="A27" s="42">
        <v>9200</v>
      </c>
      <c r="B27" s="52" t="s">
        <v>2</v>
      </c>
      <c r="C27" s="53">
        <v>0</v>
      </c>
      <c r="D27" s="53">
        <v>0</v>
      </c>
      <c r="E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f t="shared" ref="M27:R27" si="21">M10-M21</f>
        <v>0</v>
      </c>
      <c r="N27" s="53">
        <f t="shared" si="21"/>
        <v>0</v>
      </c>
      <c r="O27" s="53">
        <f t="shared" si="21"/>
        <v>0</v>
      </c>
      <c r="P27" s="53">
        <f t="shared" si="21"/>
        <v>0</v>
      </c>
      <c r="Q27" s="53">
        <f t="shared" si="21"/>
        <v>0</v>
      </c>
      <c r="R27" s="53">
        <f t="shared" si="21"/>
        <v>0</v>
      </c>
      <c r="S27" s="53">
        <f>SUM(G27:R27)</f>
        <v>0</v>
      </c>
      <c r="U27" s="53">
        <f t="shared" ref="U27:AF27" si="22">U10-U21</f>
        <v>0</v>
      </c>
      <c r="V27" s="53">
        <f t="shared" si="22"/>
        <v>0</v>
      </c>
      <c r="W27" s="53">
        <f t="shared" si="22"/>
        <v>0</v>
      </c>
      <c r="X27" s="53">
        <f t="shared" si="22"/>
        <v>0</v>
      </c>
      <c r="Y27" s="53">
        <f t="shared" si="22"/>
        <v>0</v>
      </c>
      <c r="Z27" s="53">
        <f t="shared" si="22"/>
        <v>0</v>
      </c>
      <c r="AA27" s="53">
        <f t="shared" si="22"/>
        <v>0</v>
      </c>
      <c r="AB27" s="53">
        <f t="shared" si="22"/>
        <v>0</v>
      </c>
      <c r="AC27" s="53">
        <f t="shared" si="22"/>
        <v>0</v>
      </c>
      <c r="AD27" s="53">
        <f t="shared" si="22"/>
        <v>0</v>
      </c>
      <c r="AE27" s="53">
        <f t="shared" si="22"/>
        <v>0</v>
      </c>
      <c r="AF27" s="53">
        <f t="shared" si="22"/>
        <v>0</v>
      </c>
      <c r="AG27" s="53">
        <f t="shared" si="1"/>
        <v>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idden="1">
      <c r="A28" s="79">
        <v>9291</v>
      </c>
      <c r="B28" s="118" t="s">
        <v>97</v>
      </c>
      <c r="C28" s="119">
        <f t="shared" ref="C28:E32" si="23">IF(C5=0,0,C22/C5)</f>
        <v>0</v>
      </c>
      <c r="D28" s="119">
        <f t="shared" si="23"/>
        <v>0</v>
      </c>
      <c r="E28" s="119">
        <f t="shared" si="23"/>
        <v>0</v>
      </c>
      <c r="G28" s="119">
        <f t="shared" ref="G28:S32" si="24">IF(G5=0,0,G22/G5)</f>
        <v>0</v>
      </c>
      <c r="H28" s="119">
        <f t="shared" si="24"/>
        <v>0</v>
      </c>
      <c r="I28" s="119">
        <f t="shared" si="24"/>
        <v>0</v>
      </c>
      <c r="J28" s="119">
        <f t="shared" si="24"/>
        <v>0</v>
      </c>
      <c r="K28" s="119">
        <f t="shared" si="24"/>
        <v>0</v>
      </c>
      <c r="L28" s="119">
        <f t="shared" si="24"/>
        <v>0</v>
      </c>
      <c r="M28" s="119">
        <f t="shared" si="24"/>
        <v>0</v>
      </c>
      <c r="N28" s="119">
        <f t="shared" si="24"/>
        <v>0</v>
      </c>
      <c r="O28" s="119">
        <f t="shared" si="24"/>
        <v>0</v>
      </c>
      <c r="P28" s="119">
        <f t="shared" si="24"/>
        <v>0</v>
      </c>
      <c r="Q28" s="119">
        <f t="shared" si="24"/>
        <v>0</v>
      </c>
      <c r="R28" s="119">
        <f t="shared" si="24"/>
        <v>0</v>
      </c>
      <c r="S28" s="119">
        <f t="shared" si="24"/>
        <v>0</v>
      </c>
      <c r="T28" s="102"/>
      <c r="U28" s="119">
        <f t="shared" ref="U28:AG32" si="25">IF(U5=0,0,U22/U5)</f>
        <v>0</v>
      </c>
      <c r="V28" s="119">
        <f t="shared" si="25"/>
        <v>0</v>
      </c>
      <c r="W28" s="119">
        <f t="shared" si="25"/>
        <v>0</v>
      </c>
      <c r="X28" s="119">
        <f t="shared" si="25"/>
        <v>0</v>
      </c>
      <c r="Y28" s="119">
        <f t="shared" si="25"/>
        <v>0</v>
      </c>
      <c r="Z28" s="119">
        <f t="shared" si="25"/>
        <v>0</v>
      </c>
      <c r="AA28" s="119">
        <f t="shared" si="25"/>
        <v>0</v>
      </c>
      <c r="AB28" s="119">
        <f t="shared" si="25"/>
        <v>0</v>
      </c>
      <c r="AC28" s="119">
        <f t="shared" si="25"/>
        <v>0</v>
      </c>
      <c r="AD28" s="119">
        <f t="shared" si="25"/>
        <v>0</v>
      </c>
      <c r="AE28" s="119">
        <f t="shared" si="25"/>
        <v>0</v>
      </c>
      <c r="AF28" s="119">
        <f t="shared" si="25"/>
        <v>0</v>
      </c>
      <c r="AG28" s="119">
        <f t="shared" si="25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>
      <c r="A29" s="79">
        <v>9292</v>
      </c>
      <c r="B29" s="118" t="s">
        <v>6</v>
      </c>
      <c r="C29" s="119">
        <f t="shared" si="23"/>
        <v>0</v>
      </c>
      <c r="D29" s="119">
        <f t="shared" si="23"/>
        <v>0</v>
      </c>
      <c r="E29" s="119">
        <f t="shared" si="23"/>
        <v>0</v>
      </c>
      <c r="G29" s="119">
        <f t="shared" si="24"/>
        <v>0</v>
      </c>
      <c r="H29" s="119">
        <f t="shared" si="24"/>
        <v>0</v>
      </c>
      <c r="I29" s="119">
        <f t="shared" si="24"/>
        <v>0</v>
      </c>
      <c r="J29" s="119">
        <f t="shared" si="24"/>
        <v>0</v>
      </c>
      <c r="K29" s="119">
        <f t="shared" si="24"/>
        <v>0</v>
      </c>
      <c r="L29" s="119">
        <f t="shared" si="24"/>
        <v>0</v>
      </c>
      <c r="M29" s="119">
        <f t="shared" si="24"/>
        <v>0</v>
      </c>
      <c r="N29" s="119">
        <f t="shared" si="24"/>
        <v>0</v>
      </c>
      <c r="O29" s="119">
        <f t="shared" si="24"/>
        <v>0</v>
      </c>
      <c r="P29" s="119">
        <f t="shared" si="24"/>
        <v>0</v>
      </c>
      <c r="Q29" s="119">
        <f t="shared" si="24"/>
        <v>0</v>
      </c>
      <c r="R29" s="119">
        <f t="shared" si="24"/>
        <v>0</v>
      </c>
      <c r="S29" s="119">
        <f t="shared" si="24"/>
        <v>0</v>
      </c>
      <c r="T29" s="102"/>
      <c r="U29" s="119">
        <f t="shared" si="25"/>
        <v>0</v>
      </c>
      <c r="V29" s="119">
        <f t="shared" si="25"/>
        <v>0</v>
      </c>
      <c r="W29" s="119">
        <f t="shared" si="25"/>
        <v>0</v>
      </c>
      <c r="X29" s="119">
        <f t="shared" si="25"/>
        <v>0</v>
      </c>
      <c r="Y29" s="119">
        <f t="shared" si="25"/>
        <v>0</v>
      </c>
      <c r="Z29" s="119">
        <f t="shared" si="25"/>
        <v>0</v>
      </c>
      <c r="AA29" s="119">
        <f t="shared" si="25"/>
        <v>0</v>
      </c>
      <c r="AB29" s="119">
        <f t="shared" si="25"/>
        <v>0</v>
      </c>
      <c r="AC29" s="119">
        <f t="shared" si="25"/>
        <v>0</v>
      </c>
      <c r="AD29" s="119">
        <f t="shared" si="25"/>
        <v>0</v>
      </c>
      <c r="AE29" s="119">
        <f t="shared" si="25"/>
        <v>0</v>
      </c>
      <c r="AF29" s="119">
        <f t="shared" si="25"/>
        <v>0</v>
      </c>
      <c r="AG29" s="119">
        <f t="shared" si="25"/>
        <v>0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>
      <c r="A30" s="79">
        <v>9293</v>
      </c>
      <c r="B30" s="118" t="s">
        <v>7</v>
      </c>
      <c r="C30" s="119">
        <f t="shared" si="23"/>
        <v>0</v>
      </c>
      <c r="D30" s="119">
        <f t="shared" si="23"/>
        <v>0</v>
      </c>
      <c r="E30" s="119">
        <f t="shared" si="23"/>
        <v>0</v>
      </c>
      <c r="G30" s="119">
        <f t="shared" si="24"/>
        <v>0</v>
      </c>
      <c r="H30" s="119">
        <f t="shared" si="24"/>
        <v>0</v>
      </c>
      <c r="I30" s="119">
        <f t="shared" si="24"/>
        <v>0</v>
      </c>
      <c r="J30" s="119">
        <f t="shared" si="24"/>
        <v>0</v>
      </c>
      <c r="K30" s="119">
        <f t="shared" si="24"/>
        <v>0</v>
      </c>
      <c r="L30" s="119">
        <f t="shared" si="24"/>
        <v>0</v>
      </c>
      <c r="M30" s="119">
        <f t="shared" si="24"/>
        <v>0</v>
      </c>
      <c r="N30" s="119">
        <f t="shared" si="24"/>
        <v>0</v>
      </c>
      <c r="O30" s="119">
        <f t="shared" si="24"/>
        <v>0</v>
      </c>
      <c r="P30" s="119">
        <f t="shared" si="24"/>
        <v>0</v>
      </c>
      <c r="Q30" s="119">
        <f t="shared" si="24"/>
        <v>0</v>
      </c>
      <c r="R30" s="119">
        <f t="shared" si="24"/>
        <v>0</v>
      </c>
      <c r="S30" s="119">
        <f t="shared" si="24"/>
        <v>0</v>
      </c>
      <c r="T30" s="102"/>
      <c r="U30" s="119">
        <f t="shared" si="25"/>
        <v>0</v>
      </c>
      <c r="V30" s="119">
        <f t="shared" si="25"/>
        <v>0</v>
      </c>
      <c r="W30" s="119">
        <f t="shared" si="25"/>
        <v>0</v>
      </c>
      <c r="X30" s="119">
        <f t="shared" si="25"/>
        <v>0</v>
      </c>
      <c r="Y30" s="119">
        <f t="shared" si="25"/>
        <v>0</v>
      </c>
      <c r="Z30" s="119">
        <f t="shared" si="25"/>
        <v>0</v>
      </c>
      <c r="AA30" s="119">
        <f t="shared" si="25"/>
        <v>0</v>
      </c>
      <c r="AB30" s="119">
        <f t="shared" si="25"/>
        <v>0</v>
      </c>
      <c r="AC30" s="119">
        <f t="shared" si="25"/>
        <v>0</v>
      </c>
      <c r="AD30" s="119">
        <f t="shared" si="25"/>
        <v>0</v>
      </c>
      <c r="AE30" s="119">
        <f t="shared" si="25"/>
        <v>0</v>
      </c>
      <c r="AF30" s="119">
        <f t="shared" si="25"/>
        <v>0</v>
      </c>
      <c r="AG30" s="119">
        <f t="shared" si="25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>
      <c r="A31" s="79">
        <v>9294</v>
      </c>
      <c r="B31" s="118" t="s">
        <v>98</v>
      </c>
      <c r="C31" s="119">
        <f t="shared" si="23"/>
        <v>0</v>
      </c>
      <c r="D31" s="119">
        <f t="shared" si="23"/>
        <v>0</v>
      </c>
      <c r="E31" s="119">
        <f t="shared" si="23"/>
        <v>0</v>
      </c>
      <c r="G31" s="119">
        <f t="shared" si="24"/>
        <v>0</v>
      </c>
      <c r="H31" s="119">
        <f t="shared" si="24"/>
        <v>0</v>
      </c>
      <c r="I31" s="119">
        <f t="shared" si="24"/>
        <v>0</v>
      </c>
      <c r="J31" s="119">
        <f t="shared" si="24"/>
        <v>0</v>
      </c>
      <c r="K31" s="119">
        <f t="shared" si="24"/>
        <v>0</v>
      </c>
      <c r="L31" s="119">
        <f t="shared" si="24"/>
        <v>0</v>
      </c>
      <c r="M31" s="119">
        <f t="shared" si="24"/>
        <v>0</v>
      </c>
      <c r="N31" s="119">
        <f t="shared" si="24"/>
        <v>0</v>
      </c>
      <c r="O31" s="119">
        <f t="shared" si="24"/>
        <v>0</v>
      </c>
      <c r="P31" s="119">
        <f t="shared" si="24"/>
        <v>0</v>
      </c>
      <c r="Q31" s="119">
        <f t="shared" si="24"/>
        <v>0</v>
      </c>
      <c r="R31" s="119">
        <f t="shared" si="24"/>
        <v>0</v>
      </c>
      <c r="S31" s="119">
        <f t="shared" si="24"/>
        <v>0</v>
      </c>
      <c r="T31" s="102"/>
      <c r="U31" s="119">
        <f t="shared" si="25"/>
        <v>0</v>
      </c>
      <c r="V31" s="119">
        <f t="shared" si="25"/>
        <v>0</v>
      </c>
      <c r="W31" s="119">
        <f t="shared" si="25"/>
        <v>0</v>
      </c>
      <c r="X31" s="119">
        <f t="shared" si="25"/>
        <v>0</v>
      </c>
      <c r="Y31" s="119">
        <f t="shared" si="25"/>
        <v>0</v>
      </c>
      <c r="Z31" s="119">
        <f t="shared" si="25"/>
        <v>0</v>
      </c>
      <c r="AA31" s="119">
        <f t="shared" si="25"/>
        <v>0</v>
      </c>
      <c r="AB31" s="119">
        <f t="shared" si="25"/>
        <v>0</v>
      </c>
      <c r="AC31" s="119">
        <f t="shared" si="25"/>
        <v>0</v>
      </c>
      <c r="AD31" s="119">
        <f t="shared" si="25"/>
        <v>0</v>
      </c>
      <c r="AE31" s="119">
        <f t="shared" si="25"/>
        <v>0</v>
      </c>
      <c r="AF31" s="119">
        <f t="shared" si="25"/>
        <v>0</v>
      </c>
      <c r="AG31" s="119">
        <f t="shared" si="25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>
      <c r="A32" s="79">
        <v>9294</v>
      </c>
      <c r="B32" s="118" t="s">
        <v>172</v>
      </c>
      <c r="C32" s="119">
        <f t="shared" si="23"/>
        <v>0</v>
      </c>
      <c r="D32" s="119">
        <f t="shared" si="23"/>
        <v>0</v>
      </c>
      <c r="E32" s="119">
        <f t="shared" si="23"/>
        <v>0</v>
      </c>
      <c r="G32" s="119">
        <f t="shared" si="24"/>
        <v>0</v>
      </c>
      <c r="H32" s="119">
        <f t="shared" si="24"/>
        <v>0</v>
      </c>
      <c r="I32" s="119">
        <f t="shared" si="24"/>
        <v>0</v>
      </c>
      <c r="J32" s="119">
        <f t="shared" si="24"/>
        <v>0</v>
      </c>
      <c r="K32" s="119">
        <f t="shared" si="24"/>
        <v>0</v>
      </c>
      <c r="L32" s="119">
        <f t="shared" si="24"/>
        <v>0</v>
      </c>
      <c r="M32" s="119">
        <f t="shared" si="24"/>
        <v>0</v>
      </c>
      <c r="N32" s="119">
        <f t="shared" si="24"/>
        <v>0</v>
      </c>
      <c r="O32" s="119">
        <f t="shared" si="24"/>
        <v>0</v>
      </c>
      <c r="P32" s="119">
        <f t="shared" si="24"/>
        <v>0</v>
      </c>
      <c r="Q32" s="119">
        <f t="shared" si="24"/>
        <v>0</v>
      </c>
      <c r="R32" s="119">
        <f t="shared" si="24"/>
        <v>0</v>
      </c>
      <c r="S32" s="119">
        <f t="shared" si="24"/>
        <v>0</v>
      </c>
      <c r="T32" s="102"/>
      <c r="U32" s="119">
        <f t="shared" si="25"/>
        <v>0</v>
      </c>
      <c r="V32" s="119">
        <f t="shared" si="25"/>
        <v>0</v>
      </c>
      <c r="W32" s="119">
        <f t="shared" si="25"/>
        <v>0</v>
      </c>
      <c r="X32" s="119">
        <f t="shared" si="25"/>
        <v>0</v>
      </c>
      <c r="Y32" s="119">
        <f t="shared" si="25"/>
        <v>0</v>
      </c>
      <c r="Z32" s="119">
        <f t="shared" si="25"/>
        <v>0</v>
      </c>
      <c r="AA32" s="119">
        <f t="shared" si="25"/>
        <v>0</v>
      </c>
      <c r="AB32" s="119">
        <f t="shared" si="25"/>
        <v>0</v>
      </c>
      <c r="AC32" s="119">
        <f t="shared" si="25"/>
        <v>0</v>
      </c>
      <c r="AD32" s="119">
        <f t="shared" si="25"/>
        <v>0</v>
      </c>
      <c r="AE32" s="119">
        <f t="shared" si="25"/>
        <v>0</v>
      </c>
      <c r="AF32" s="119">
        <f t="shared" si="25"/>
        <v>0</v>
      </c>
      <c r="AG32" s="119">
        <f t="shared" si="25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idden="1" collapsed="1">
      <c r="A33" s="54">
        <v>9290</v>
      </c>
      <c r="B33" s="55" t="s">
        <v>10</v>
      </c>
      <c r="C33" s="56" t="e">
        <f t="shared" ref="C33:E33" si="26">C27/C10</f>
        <v>#DIV/0!</v>
      </c>
      <c r="D33" s="56" t="e">
        <f t="shared" si="26"/>
        <v>#DIV/0!</v>
      </c>
      <c r="E33" s="56" t="e">
        <f t="shared" si="26"/>
        <v>#DIV/0!</v>
      </c>
      <c r="G33" s="56" t="e">
        <f t="shared" ref="G33:S33" si="27">G27/G10</f>
        <v>#DIV/0!</v>
      </c>
      <c r="H33" s="56" t="e">
        <f t="shared" si="27"/>
        <v>#DIV/0!</v>
      </c>
      <c r="I33" s="56" t="e">
        <f t="shared" si="27"/>
        <v>#DIV/0!</v>
      </c>
      <c r="J33" s="56" t="e">
        <f t="shared" si="27"/>
        <v>#DIV/0!</v>
      </c>
      <c r="K33" s="56" t="e">
        <f t="shared" si="27"/>
        <v>#DIV/0!</v>
      </c>
      <c r="L33" s="56" t="e">
        <f t="shared" si="27"/>
        <v>#DIV/0!</v>
      </c>
      <c r="M33" s="56" t="e">
        <f t="shared" si="27"/>
        <v>#DIV/0!</v>
      </c>
      <c r="N33" s="56" t="e">
        <f t="shared" si="27"/>
        <v>#DIV/0!</v>
      </c>
      <c r="O33" s="56" t="e">
        <f t="shared" si="27"/>
        <v>#DIV/0!</v>
      </c>
      <c r="P33" s="56" t="e">
        <f t="shared" si="27"/>
        <v>#DIV/0!</v>
      </c>
      <c r="Q33" s="56" t="e">
        <f t="shared" si="27"/>
        <v>#DIV/0!</v>
      </c>
      <c r="R33" s="56" t="e">
        <f t="shared" si="27"/>
        <v>#DIV/0!</v>
      </c>
      <c r="S33" s="56" t="e">
        <f t="shared" si="27"/>
        <v>#DIV/0!</v>
      </c>
      <c r="U33" s="56" t="e">
        <f t="shared" ref="U33:AG33" si="28">U27/U10</f>
        <v>#DIV/0!</v>
      </c>
      <c r="V33" s="56" t="e">
        <f t="shared" si="28"/>
        <v>#DIV/0!</v>
      </c>
      <c r="W33" s="56" t="e">
        <f t="shared" si="28"/>
        <v>#DIV/0!</v>
      </c>
      <c r="X33" s="56" t="e">
        <f t="shared" si="28"/>
        <v>#DIV/0!</v>
      </c>
      <c r="Y33" s="56" t="e">
        <f t="shared" si="28"/>
        <v>#DIV/0!</v>
      </c>
      <c r="Z33" s="56" t="e">
        <f t="shared" si="28"/>
        <v>#DIV/0!</v>
      </c>
      <c r="AA33" s="56" t="e">
        <f t="shared" si="28"/>
        <v>#DIV/0!</v>
      </c>
      <c r="AB33" s="56" t="e">
        <f t="shared" si="28"/>
        <v>#DIV/0!</v>
      </c>
      <c r="AC33" s="56" t="e">
        <f t="shared" si="28"/>
        <v>#DIV/0!</v>
      </c>
      <c r="AD33" s="56" t="e">
        <f t="shared" si="28"/>
        <v>#DIV/0!</v>
      </c>
      <c r="AE33" s="56" t="e">
        <f t="shared" si="28"/>
        <v>#DIV/0!</v>
      </c>
      <c r="AF33" s="56" t="e">
        <f t="shared" si="28"/>
        <v>#DIV/0!</v>
      </c>
      <c r="AG33" s="56" t="e">
        <f t="shared" si="28"/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29">SUM(G34:R34)</f>
        <v>0</v>
      </c>
      <c r="U34" s="51">
        <v>1000</v>
      </c>
      <c r="V34" s="51">
        <v>1000</v>
      </c>
      <c r="W34" s="51">
        <v>1000</v>
      </c>
      <c r="X34" s="51">
        <v>1000</v>
      </c>
      <c r="Y34" s="51">
        <v>1000</v>
      </c>
      <c r="Z34" s="51">
        <v>1000</v>
      </c>
      <c r="AA34" s="51">
        <v>1000</v>
      </c>
      <c r="AB34" s="51">
        <v>1000</v>
      </c>
      <c r="AC34" s="51">
        <v>1000</v>
      </c>
      <c r="AD34" s="51">
        <v>1000</v>
      </c>
      <c r="AE34" s="51">
        <v>1000</v>
      </c>
      <c r="AF34" s="51">
        <v>1000</v>
      </c>
      <c r="AG34" s="51">
        <f t="shared" ref="AG34:AG64" si="30">SUM(U34:AF34)</f>
        <v>12000</v>
      </c>
    </row>
    <row r="35" spans="1:43" s="96" customFormat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29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30"/>
        <v>0</v>
      </c>
    </row>
    <row r="36" spans="1:43" s="96" customFormat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29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30"/>
        <v>0</v>
      </c>
    </row>
    <row r="37" spans="1:43" s="96" customFormat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29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30"/>
        <v>0</v>
      </c>
    </row>
    <row r="38" spans="1:43" s="96" customFormat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29"/>
        <v>0</v>
      </c>
      <c r="U38" s="235">
        <f>VLOOKUP($A$2,investice!$C$51:$AG$65,investice!U$51,FALSE)</f>
        <v>1917</v>
      </c>
      <c r="V38" s="235">
        <f>VLOOKUP($A$2,investice!$C$51:$AG$65,investice!V$51,FALSE)</f>
        <v>1917</v>
      </c>
      <c r="W38" s="235">
        <f>VLOOKUP($A$2,investice!$C$51:$AG$65,investice!W$51,FALSE)</f>
        <v>1917</v>
      </c>
      <c r="X38" s="235">
        <f>VLOOKUP($A$2,investice!$C$51:$AG$65,investice!X$51,FALSE)</f>
        <v>1917</v>
      </c>
      <c r="Y38" s="235">
        <f>VLOOKUP($A$2,investice!$C$51:$AG$65,investice!Y$51,FALSE)</f>
        <v>1917</v>
      </c>
      <c r="Z38" s="235">
        <f>VLOOKUP($A$2,investice!$C$51:$AG$65,investice!Z$51,FALSE)</f>
        <v>1917</v>
      </c>
      <c r="AA38" s="235">
        <f>VLOOKUP($A$2,investice!$C$51:$AG$65,investice!AA$51,FALSE)</f>
        <v>1917</v>
      </c>
      <c r="AB38" s="235">
        <f>VLOOKUP($A$2,investice!$C$51:$AG$65,investice!AB$51,FALSE)</f>
        <v>1917</v>
      </c>
      <c r="AC38" s="235">
        <f>VLOOKUP($A$2,investice!$C$51:$AG$65,investice!AC$51,FALSE)</f>
        <v>1917</v>
      </c>
      <c r="AD38" s="235">
        <f>VLOOKUP($A$2,investice!$C$51:$AG$65,investice!AD$51,FALSE)</f>
        <v>1917</v>
      </c>
      <c r="AE38" s="235">
        <f>VLOOKUP($A$2,investice!$C$51:$AG$65,investice!AE$51,FALSE)</f>
        <v>1917</v>
      </c>
      <c r="AF38" s="235">
        <f>VLOOKUP($A$2,investice!$C$51:$AG$65,investice!AF$51,FALSE)</f>
        <v>1917</v>
      </c>
      <c r="AG38" s="44">
        <f t="shared" si="30"/>
        <v>23004</v>
      </c>
    </row>
    <row r="39" spans="1:43" s="96" customFormat="1">
      <c r="A39" s="57">
        <v>9300</v>
      </c>
      <c r="B39" s="57" t="s">
        <v>14</v>
      </c>
      <c r="C39" s="41">
        <f t="shared" ref="C39:E39" si="31">SUM(C34:C38)</f>
        <v>0</v>
      </c>
      <c r="D39" s="41">
        <f t="shared" si="31"/>
        <v>0</v>
      </c>
      <c r="E39" s="41">
        <f t="shared" si="31"/>
        <v>0</v>
      </c>
      <c r="G39" s="41">
        <f t="shared" ref="G39:R39" si="32">SUM(G34:G38)</f>
        <v>0</v>
      </c>
      <c r="H39" s="41">
        <f t="shared" si="32"/>
        <v>0</v>
      </c>
      <c r="I39" s="41">
        <f t="shared" si="32"/>
        <v>0</v>
      </c>
      <c r="J39" s="41">
        <f t="shared" si="32"/>
        <v>0</v>
      </c>
      <c r="K39" s="41">
        <f t="shared" si="32"/>
        <v>0</v>
      </c>
      <c r="L39" s="41">
        <f t="shared" si="32"/>
        <v>0</v>
      </c>
      <c r="M39" s="41">
        <f t="shared" si="32"/>
        <v>0</v>
      </c>
      <c r="N39" s="41">
        <f t="shared" si="32"/>
        <v>0</v>
      </c>
      <c r="O39" s="41">
        <f t="shared" si="32"/>
        <v>0</v>
      </c>
      <c r="P39" s="41">
        <f t="shared" si="32"/>
        <v>0</v>
      </c>
      <c r="Q39" s="41">
        <f t="shared" si="32"/>
        <v>0</v>
      </c>
      <c r="R39" s="41">
        <f t="shared" si="32"/>
        <v>0</v>
      </c>
      <c r="S39" s="41">
        <f t="shared" si="29"/>
        <v>0</v>
      </c>
      <c r="U39" s="41">
        <f t="shared" ref="U39:AF39" si="33">SUM(U34:U38)</f>
        <v>2917</v>
      </c>
      <c r="V39" s="41">
        <f t="shared" si="33"/>
        <v>2917</v>
      </c>
      <c r="W39" s="41">
        <f t="shared" si="33"/>
        <v>2917</v>
      </c>
      <c r="X39" s="41">
        <f t="shared" si="33"/>
        <v>2917</v>
      </c>
      <c r="Y39" s="41">
        <f t="shared" si="33"/>
        <v>2917</v>
      </c>
      <c r="Z39" s="41">
        <f t="shared" si="33"/>
        <v>2917</v>
      </c>
      <c r="AA39" s="41">
        <f t="shared" si="33"/>
        <v>2917</v>
      </c>
      <c r="AB39" s="41">
        <f t="shared" si="33"/>
        <v>2917</v>
      </c>
      <c r="AC39" s="41">
        <f t="shared" si="33"/>
        <v>2917</v>
      </c>
      <c r="AD39" s="41">
        <f t="shared" si="33"/>
        <v>2917</v>
      </c>
      <c r="AE39" s="41">
        <f t="shared" si="33"/>
        <v>2917</v>
      </c>
      <c r="AF39" s="41">
        <f t="shared" si="33"/>
        <v>2917</v>
      </c>
      <c r="AG39" s="41">
        <f t="shared" si="30"/>
        <v>35004</v>
      </c>
    </row>
    <row r="40" spans="1:43" s="96" customFormat="1" ht="24" hidden="1" customHeight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29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30"/>
        <v>0</v>
      </c>
    </row>
    <row r="41" spans="1:43" s="96" customFormat="1" hidden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29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30"/>
        <v>0</v>
      </c>
    </row>
    <row r="42" spans="1:43" s="96" customFormat="1" hidden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29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30"/>
        <v>0</v>
      </c>
    </row>
    <row r="43" spans="1:43" s="96" customFormat="1" hidden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29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30"/>
        <v>0</v>
      </c>
    </row>
    <row r="44" spans="1:43" s="96" customFormat="1" hidden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29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30"/>
        <v>0</v>
      </c>
    </row>
    <row r="45" spans="1:43" s="96" customFormat="1" hidden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29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30"/>
        <v>0</v>
      </c>
    </row>
    <row r="46" spans="1:43" s="96" customFormat="1" hidden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29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30"/>
        <v>0</v>
      </c>
    </row>
    <row r="47" spans="1:43" s="96" customFormat="1" hidden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29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30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34">SUM(C40:C47)</f>
        <v>0</v>
      </c>
      <c r="D48" s="41">
        <f t="shared" si="34"/>
        <v>0</v>
      </c>
      <c r="E48" s="41">
        <f t="shared" si="34"/>
        <v>0</v>
      </c>
      <c r="G48" s="41">
        <f t="shared" ref="G48:R48" si="35">SUM(G40:G47)</f>
        <v>0</v>
      </c>
      <c r="H48" s="41">
        <f t="shared" si="35"/>
        <v>0</v>
      </c>
      <c r="I48" s="41">
        <f t="shared" si="35"/>
        <v>0</v>
      </c>
      <c r="J48" s="41">
        <f t="shared" si="35"/>
        <v>0</v>
      </c>
      <c r="K48" s="41">
        <f t="shared" si="35"/>
        <v>0</v>
      </c>
      <c r="L48" s="41">
        <f t="shared" si="35"/>
        <v>0</v>
      </c>
      <c r="M48" s="41">
        <f t="shared" si="35"/>
        <v>0</v>
      </c>
      <c r="N48" s="41">
        <f t="shared" si="35"/>
        <v>0</v>
      </c>
      <c r="O48" s="41">
        <f t="shared" si="35"/>
        <v>0</v>
      </c>
      <c r="P48" s="41">
        <f t="shared" si="35"/>
        <v>0</v>
      </c>
      <c r="Q48" s="41">
        <f t="shared" si="35"/>
        <v>0</v>
      </c>
      <c r="R48" s="41">
        <f t="shared" si="35"/>
        <v>0</v>
      </c>
      <c r="S48" s="41">
        <f t="shared" si="29"/>
        <v>0</v>
      </c>
      <c r="U48" s="41">
        <f t="shared" ref="U48:AF48" si="36">SUM(U40:U47)</f>
        <v>0</v>
      </c>
      <c r="V48" s="41">
        <f t="shared" si="36"/>
        <v>0</v>
      </c>
      <c r="W48" s="41">
        <f t="shared" si="36"/>
        <v>0</v>
      </c>
      <c r="X48" s="41">
        <f t="shared" si="36"/>
        <v>0</v>
      </c>
      <c r="Y48" s="41">
        <f t="shared" si="36"/>
        <v>0</v>
      </c>
      <c r="Z48" s="41">
        <f t="shared" si="36"/>
        <v>0</v>
      </c>
      <c r="AA48" s="41">
        <f t="shared" si="36"/>
        <v>0</v>
      </c>
      <c r="AB48" s="41">
        <f t="shared" si="36"/>
        <v>0</v>
      </c>
      <c r="AC48" s="41">
        <f t="shared" si="36"/>
        <v>0</v>
      </c>
      <c r="AD48" s="41">
        <f t="shared" si="36"/>
        <v>0</v>
      </c>
      <c r="AE48" s="41">
        <f t="shared" si="36"/>
        <v>0</v>
      </c>
      <c r="AF48" s="41">
        <f t="shared" si="36"/>
        <v>0</v>
      </c>
      <c r="AG48" s="41">
        <f t="shared" si="30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29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30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29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30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29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30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29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30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29"/>
        <v>0</v>
      </c>
      <c r="T53" s="239"/>
      <c r="U53" s="234">
        <f>VLOOKUP($A$2,osobni!$F$31:$EQ$44,osobni!EE$3,FALSE)</f>
        <v>60170</v>
      </c>
      <c r="V53" s="234">
        <f>VLOOKUP($A$2,osobni!$F$31:$EQ$44,osobni!EF$3,FALSE)</f>
        <v>60060</v>
      </c>
      <c r="W53" s="234">
        <f>VLOOKUP($A$2,osobni!$F$31:$EQ$44,osobni!EG$3,FALSE)</f>
        <v>60115</v>
      </c>
      <c r="X53" s="234">
        <f>VLOOKUP($A$2,osobni!$F$31:$EQ$44,osobni!EH$3,FALSE)</f>
        <v>60060</v>
      </c>
      <c r="Y53" s="234">
        <f>VLOOKUP($A$2,osobni!$F$31:$EQ$44,osobni!EI$3,FALSE)</f>
        <v>60115</v>
      </c>
      <c r="Z53" s="234">
        <f>VLOOKUP($A$2,osobni!$F$31:$EQ$44,osobni!EJ$3,FALSE)</f>
        <v>60115</v>
      </c>
      <c r="AA53" s="234">
        <f>VLOOKUP($A$2,osobni!$F$31:$EQ$44,osobni!EK$3,FALSE)</f>
        <v>60060</v>
      </c>
      <c r="AB53" s="234">
        <f>VLOOKUP($A$2,osobni!$F$31:$EQ$44,osobni!EL$3,FALSE)</f>
        <v>60225</v>
      </c>
      <c r="AC53" s="234">
        <f>VLOOKUP($A$2,osobni!$F$31:$EQ$44,osobni!EM$3,FALSE)</f>
        <v>60005</v>
      </c>
      <c r="AD53" s="234">
        <f>VLOOKUP($A$2,osobni!$F$31:$EQ$44,osobni!EN$3,FALSE)</f>
        <v>60225</v>
      </c>
      <c r="AE53" s="234">
        <f>VLOOKUP($A$2,osobni!$F$31:$EQ$44,osobni!EO$3,FALSE)</f>
        <v>60170</v>
      </c>
      <c r="AF53" s="234">
        <f>VLOOKUP($A$2,osobni!$F$31:$EQ$44,osobni!EP$3,FALSE)</f>
        <v>59950</v>
      </c>
      <c r="AG53" s="51">
        <f t="shared" si="30"/>
        <v>721270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29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30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29"/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f t="shared" si="30"/>
        <v>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29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30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29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30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29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37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29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30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29"/>
        <v>0</v>
      </c>
      <c r="U60" s="235">
        <f>VLOOKUP($A$2,osobni!$F$31:$EQ$44,osobni!DC$3,FALSE)</f>
        <v>333.33333333333331</v>
      </c>
      <c r="V60" s="235">
        <f>VLOOKUP($A$2,osobni!$F$31:$EQ$44,osobni!DD$3,FALSE)</f>
        <v>333.33333333333331</v>
      </c>
      <c r="W60" s="235">
        <f>VLOOKUP($A$2,osobni!$F$31:$EQ$44,osobni!DE$3,FALSE)</f>
        <v>333.33333333333331</v>
      </c>
      <c r="X60" s="235">
        <f>VLOOKUP($A$2,osobni!$F$31:$EQ$44,osobni!DF$3,FALSE)</f>
        <v>333.33333333333331</v>
      </c>
      <c r="Y60" s="235">
        <f>VLOOKUP($A$2,osobni!$F$31:$EQ$44,osobni!DG$3,FALSE)</f>
        <v>333.33333333333331</v>
      </c>
      <c r="Z60" s="235">
        <f>VLOOKUP($A$2,osobni!$F$31:$EQ$44,osobni!DH$3,FALSE)</f>
        <v>333.33333333333331</v>
      </c>
      <c r="AA60" s="235">
        <f>VLOOKUP($A$2,osobni!$F$31:$EQ$44,osobni!DI$3,FALSE)</f>
        <v>333.33333333333331</v>
      </c>
      <c r="AB60" s="235">
        <f>VLOOKUP($A$2,osobni!$F$31:$EQ$44,osobni!DJ$3,FALSE)</f>
        <v>333.33333333333331</v>
      </c>
      <c r="AC60" s="235">
        <f>VLOOKUP($A$2,osobni!$F$31:$EQ$44,osobni!DK$3,FALSE)</f>
        <v>333.33333333333331</v>
      </c>
      <c r="AD60" s="235">
        <f>VLOOKUP($A$2,osobni!$F$31:$EQ$44,osobni!DL$3,FALSE)</f>
        <v>333.33333333333331</v>
      </c>
      <c r="AE60" s="235">
        <f>VLOOKUP($A$2,osobni!$F$31:$EQ$44,osobni!DM$3,FALSE)</f>
        <v>333.33333333333331</v>
      </c>
      <c r="AF60" s="235">
        <f>VLOOKUP($A$2,osobni!$F$31:$EQ$44,osobni!DN$3,FALSE)</f>
        <v>333.33333333333331</v>
      </c>
      <c r="AG60" s="44">
        <f t="shared" si="30"/>
        <v>4000.0000000000005</v>
      </c>
    </row>
    <row r="61" spans="1:33" s="96" customFormat="1">
      <c r="A61" s="57">
        <v>9500</v>
      </c>
      <c r="B61" s="57" t="s">
        <v>121</v>
      </c>
      <c r="C61" s="41">
        <f t="shared" ref="C61:E61" si="38">SUM(C49:C60)</f>
        <v>0</v>
      </c>
      <c r="D61" s="41">
        <f t="shared" si="38"/>
        <v>0</v>
      </c>
      <c r="E61" s="41">
        <f t="shared" si="38"/>
        <v>0</v>
      </c>
      <c r="G61" s="41">
        <f t="shared" ref="G61:R61" si="39">SUM(G49:G60)</f>
        <v>0</v>
      </c>
      <c r="H61" s="41">
        <f t="shared" si="39"/>
        <v>0</v>
      </c>
      <c r="I61" s="41">
        <f t="shared" si="39"/>
        <v>0</v>
      </c>
      <c r="J61" s="41">
        <f t="shared" si="39"/>
        <v>0</v>
      </c>
      <c r="K61" s="41">
        <f t="shared" si="39"/>
        <v>0</v>
      </c>
      <c r="L61" s="41">
        <f t="shared" si="39"/>
        <v>0</v>
      </c>
      <c r="M61" s="41">
        <f t="shared" si="39"/>
        <v>0</v>
      </c>
      <c r="N61" s="41">
        <f t="shared" si="39"/>
        <v>0</v>
      </c>
      <c r="O61" s="41">
        <f t="shared" si="39"/>
        <v>0</v>
      </c>
      <c r="P61" s="41">
        <f t="shared" si="39"/>
        <v>0</v>
      </c>
      <c r="Q61" s="41">
        <f t="shared" si="39"/>
        <v>0</v>
      </c>
      <c r="R61" s="41">
        <f t="shared" si="39"/>
        <v>0</v>
      </c>
      <c r="S61" s="41">
        <f t="shared" si="29"/>
        <v>0</v>
      </c>
      <c r="U61" s="41">
        <f t="shared" ref="U61:AF61" si="40">SUM(U49:U60)</f>
        <v>60503.333333333336</v>
      </c>
      <c r="V61" s="41">
        <f t="shared" si="40"/>
        <v>60393.333333333336</v>
      </c>
      <c r="W61" s="41">
        <f t="shared" si="40"/>
        <v>60448.333333333336</v>
      </c>
      <c r="X61" s="41">
        <f t="shared" si="40"/>
        <v>60393.333333333336</v>
      </c>
      <c r="Y61" s="41">
        <f t="shared" si="40"/>
        <v>60448.333333333336</v>
      </c>
      <c r="Z61" s="41">
        <f t="shared" si="40"/>
        <v>60448.333333333336</v>
      </c>
      <c r="AA61" s="41">
        <f t="shared" si="40"/>
        <v>60393.333333333336</v>
      </c>
      <c r="AB61" s="41">
        <f t="shared" si="40"/>
        <v>60558.333333333336</v>
      </c>
      <c r="AC61" s="41">
        <f t="shared" si="40"/>
        <v>60338.333333333336</v>
      </c>
      <c r="AD61" s="41">
        <f t="shared" si="40"/>
        <v>60558.333333333336</v>
      </c>
      <c r="AE61" s="41">
        <f t="shared" si="40"/>
        <v>60503.333333333336</v>
      </c>
      <c r="AF61" s="41">
        <f t="shared" si="40"/>
        <v>60283.333333333336</v>
      </c>
      <c r="AG61" s="41">
        <f t="shared" si="30"/>
        <v>725270.00000000012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29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30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29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30"/>
        <v>0</v>
      </c>
    </row>
    <row r="64" spans="1:33" s="96" customFormat="1">
      <c r="A64" s="59">
        <v>9600</v>
      </c>
      <c r="B64" s="62" t="s">
        <v>122</v>
      </c>
      <c r="C64" s="63">
        <f t="shared" ref="C64:E64" si="41">C27-C48-C39-C61+C63-C62</f>
        <v>0</v>
      </c>
      <c r="D64" s="63">
        <f t="shared" si="41"/>
        <v>0</v>
      </c>
      <c r="E64" s="63">
        <f t="shared" si="41"/>
        <v>0</v>
      </c>
      <c r="G64" s="63">
        <f t="shared" ref="G64:R64" si="42">G27-G48-G39-G61+G63-G62</f>
        <v>0</v>
      </c>
      <c r="H64" s="63">
        <f t="shared" si="42"/>
        <v>0</v>
      </c>
      <c r="I64" s="63">
        <f t="shared" si="42"/>
        <v>0</v>
      </c>
      <c r="J64" s="63">
        <f t="shared" si="42"/>
        <v>0</v>
      </c>
      <c r="K64" s="63">
        <f t="shared" si="42"/>
        <v>0</v>
      </c>
      <c r="L64" s="63">
        <f t="shared" si="42"/>
        <v>0</v>
      </c>
      <c r="M64" s="63">
        <f t="shared" si="42"/>
        <v>0</v>
      </c>
      <c r="N64" s="63">
        <f t="shared" si="42"/>
        <v>0</v>
      </c>
      <c r="O64" s="63">
        <f t="shared" si="42"/>
        <v>0</v>
      </c>
      <c r="P64" s="63">
        <f t="shared" si="42"/>
        <v>0</v>
      </c>
      <c r="Q64" s="63">
        <f t="shared" si="42"/>
        <v>0</v>
      </c>
      <c r="R64" s="63">
        <f t="shared" si="42"/>
        <v>0</v>
      </c>
      <c r="S64" s="63">
        <f t="shared" si="29"/>
        <v>0</v>
      </c>
      <c r="U64" s="63">
        <f t="shared" ref="U64:AF64" si="43">U27-U48-U39-U61+U63-U62</f>
        <v>-63420.333333333336</v>
      </c>
      <c r="V64" s="63">
        <f t="shared" si="43"/>
        <v>-63310.333333333336</v>
      </c>
      <c r="W64" s="63">
        <f t="shared" si="43"/>
        <v>-63365.333333333336</v>
      </c>
      <c r="X64" s="63">
        <f t="shared" si="43"/>
        <v>-63310.333333333336</v>
      </c>
      <c r="Y64" s="63">
        <f t="shared" si="43"/>
        <v>-63365.333333333336</v>
      </c>
      <c r="Z64" s="63">
        <f t="shared" si="43"/>
        <v>-63365.333333333336</v>
      </c>
      <c r="AA64" s="63">
        <f t="shared" si="43"/>
        <v>-63310.333333333336</v>
      </c>
      <c r="AB64" s="63">
        <f t="shared" si="43"/>
        <v>-63475.333333333336</v>
      </c>
      <c r="AC64" s="63">
        <f t="shared" si="43"/>
        <v>-63255.333333333336</v>
      </c>
      <c r="AD64" s="63">
        <f t="shared" si="43"/>
        <v>-63475.333333333336</v>
      </c>
      <c r="AE64" s="63">
        <f t="shared" si="43"/>
        <v>-63420.333333333336</v>
      </c>
      <c r="AF64" s="63">
        <f t="shared" si="43"/>
        <v>-63200.333333333336</v>
      </c>
      <c r="AG64" s="63">
        <f t="shared" si="30"/>
        <v>-760274.00000000012</v>
      </c>
    </row>
    <row r="65" spans="1:33" s="102" customFormat="1">
      <c r="A65" s="64">
        <v>9690</v>
      </c>
      <c r="B65" s="65" t="s">
        <v>123</v>
      </c>
      <c r="C65" s="66" t="e">
        <f t="shared" ref="C65:E65" si="44">C64/C10</f>
        <v>#DIV/0!</v>
      </c>
      <c r="D65" s="66" t="e">
        <f t="shared" si="44"/>
        <v>#DIV/0!</v>
      </c>
      <c r="E65" s="66" t="e">
        <f t="shared" si="44"/>
        <v>#DIV/0!</v>
      </c>
      <c r="G65" s="66" t="e">
        <f t="shared" ref="G65:S65" si="45">G64/G10</f>
        <v>#DIV/0!</v>
      </c>
      <c r="H65" s="66" t="e">
        <f t="shared" si="45"/>
        <v>#DIV/0!</v>
      </c>
      <c r="I65" s="66" t="e">
        <f t="shared" si="45"/>
        <v>#DIV/0!</v>
      </c>
      <c r="J65" s="66" t="e">
        <f t="shared" si="45"/>
        <v>#DIV/0!</v>
      </c>
      <c r="K65" s="66" t="e">
        <f t="shared" si="45"/>
        <v>#DIV/0!</v>
      </c>
      <c r="L65" s="66" t="e">
        <f t="shared" si="45"/>
        <v>#DIV/0!</v>
      </c>
      <c r="M65" s="66" t="e">
        <f t="shared" si="45"/>
        <v>#DIV/0!</v>
      </c>
      <c r="N65" s="66" t="e">
        <f t="shared" si="45"/>
        <v>#DIV/0!</v>
      </c>
      <c r="O65" s="66" t="e">
        <f t="shared" si="45"/>
        <v>#DIV/0!</v>
      </c>
      <c r="P65" s="66" t="e">
        <f t="shared" si="45"/>
        <v>#DIV/0!</v>
      </c>
      <c r="Q65" s="66" t="e">
        <f t="shared" si="45"/>
        <v>#DIV/0!</v>
      </c>
      <c r="R65" s="66" t="e">
        <f t="shared" si="45"/>
        <v>#DIV/0!</v>
      </c>
      <c r="S65" s="66" t="e">
        <f t="shared" si="45"/>
        <v>#DIV/0!</v>
      </c>
      <c r="U65" s="66" t="e">
        <f t="shared" ref="U65:AG65" si="46">U64/U10</f>
        <v>#DIV/0!</v>
      </c>
      <c r="V65" s="66" t="e">
        <f t="shared" si="46"/>
        <v>#DIV/0!</v>
      </c>
      <c r="W65" s="66" t="e">
        <f t="shared" si="46"/>
        <v>#DIV/0!</v>
      </c>
      <c r="X65" s="66" t="e">
        <f t="shared" si="46"/>
        <v>#DIV/0!</v>
      </c>
      <c r="Y65" s="66" t="e">
        <f t="shared" si="46"/>
        <v>#DIV/0!</v>
      </c>
      <c r="Z65" s="66" t="e">
        <f t="shared" si="46"/>
        <v>#DIV/0!</v>
      </c>
      <c r="AA65" s="66" t="e">
        <f t="shared" si="46"/>
        <v>#DIV/0!</v>
      </c>
      <c r="AB65" s="66" t="e">
        <f t="shared" si="46"/>
        <v>#DIV/0!</v>
      </c>
      <c r="AC65" s="66" t="e">
        <f t="shared" si="46"/>
        <v>#DIV/0!</v>
      </c>
      <c r="AD65" s="66" t="e">
        <f t="shared" si="46"/>
        <v>#DIV/0!</v>
      </c>
      <c r="AE65" s="66" t="e">
        <f t="shared" si="46"/>
        <v>#DIV/0!</v>
      </c>
      <c r="AF65" s="66" t="e">
        <f t="shared" si="46"/>
        <v>#DIV/0!</v>
      </c>
      <c r="AG65" s="66" t="e">
        <f t="shared" si="46"/>
        <v>#DIV/0!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47">C64-C66+C67</f>
        <v>0</v>
      </c>
      <c r="D68" s="72">
        <f t="shared" si="47"/>
        <v>0</v>
      </c>
      <c r="E68" s="72">
        <f t="shared" si="47"/>
        <v>0</v>
      </c>
      <c r="G68" s="72">
        <f t="shared" ref="G68:R68" si="48">G64-G66+G67</f>
        <v>0</v>
      </c>
      <c r="H68" s="72">
        <f t="shared" si="48"/>
        <v>0</v>
      </c>
      <c r="I68" s="72">
        <f t="shared" si="48"/>
        <v>0</v>
      </c>
      <c r="J68" s="72">
        <f t="shared" si="48"/>
        <v>0</v>
      </c>
      <c r="K68" s="72">
        <f t="shared" si="48"/>
        <v>0</v>
      </c>
      <c r="L68" s="72">
        <f t="shared" si="48"/>
        <v>0</v>
      </c>
      <c r="M68" s="72">
        <f t="shared" si="48"/>
        <v>0</v>
      </c>
      <c r="N68" s="72">
        <f t="shared" si="48"/>
        <v>0</v>
      </c>
      <c r="O68" s="72">
        <f t="shared" si="48"/>
        <v>0</v>
      </c>
      <c r="P68" s="72">
        <f t="shared" si="48"/>
        <v>0</v>
      </c>
      <c r="Q68" s="72">
        <f t="shared" si="48"/>
        <v>0</v>
      </c>
      <c r="R68" s="72">
        <f t="shared" si="48"/>
        <v>0</v>
      </c>
      <c r="S68" s="72">
        <f>SUM(G68:R68)</f>
        <v>0</v>
      </c>
      <c r="T68" s="96"/>
      <c r="U68" s="72">
        <f t="shared" ref="U68:AF68" si="49">U64-U66+U67</f>
        <v>-63420.333333333336</v>
      </c>
      <c r="V68" s="72">
        <f t="shared" si="49"/>
        <v>-63310.333333333336</v>
      </c>
      <c r="W68" s="72">
        <f t="shared" si="49"/>
        <v>-63365.333333333336</v>
      </c>
      <c r="X68" s="72">
        <f t="shared" si="49"/>
        <v>-63310.333333333336</v>
      </c>
      <c r="Y68" s="72">
        <f t="shared" si="49"/>
        <v>-63365.333333333336</v>
      </c>
      <c r="Z68" s="72">
        <f t="shared" si="49"/>
        <v>-63365.333333333336</v>
      </c>
      <c r="AA68" s="72">
        <f t="shared" si="49"/>
        <v>-63310.333333333336</v>
      </c>
      <c r="AB68" s="72">
        <f t="shared" si="49"/>
        <v>-63475.333333333336</v>
      </c>
      <c r="AC68" s="72">
        <f t="shared" si="49"/>
        <v>-63255.333333333336</v>
      </c>
      <c r="AD68" s="72">
        <f t="shared" si="49"/>
        <v>-63475.333333333336</v>
      </c>
      <c r="AE68" s="72">
        <f t="shared" si="49"/>
        <v>-63420.333333333336</v>
      </c>
      <c r="AF68" s="72">
        <f t="shared" si="49"/>
        <v>-63200.333333333336</v>
      </c>
      <c r="AG68" s="72">
        <f>SUM(U68:AF68)</f>
        <v>-760274.00000000012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50">C68-C69</f>
        <v>0</v>
      </c>
      <c r="D70" s="78">
        <f t="shared" si="50"/>
        <v>0</v>
      </c>
      <c r="E70" s="78">
        <f t="shared" si="50"/>
        <v>0</v>
      </c>
      <c r="G70" s="78">
        <f t="shared" ref="G70:R70" si="51">G68-G69</f>
        <v>0</v>
      </c>
      <c r="H70" s="78">
        <f t="shared" si="51"/>
        <v>0</v>
      </c>
      <c r="I70" s="78">
        <f t="shared" si="51"/>
        <v>0</v>
      </c>
      <c r="J70" s="78">
        <f t="shared" si="51"/>
        <v>0</v>
      </c>
      <c r="K70" s="78">
        <f t="shared" si="51"/>
        <v>0</v>
      </c>
      <c r="L70" s="78">
        <f t="shared" si="51"/>
        <v>0</v>
      </c>
      <c r="M70" s="78">
        <f t="shared" si="51"/>
        <v>0</v>
      </c>
      <c r="N70" s="78">
        <f t="shared" si="51"/>
        <v>0</v>
      </c>
      <c r="O70" s="78">
        <f t="shared" si="51"/>
        <v>0</v>
      </c>
      <c r="P70" s="78">
        <f t="shared" si="51"/>
        <v>0</v>
      </c>
      <c r="Q70" s="78">
        <f t="shared" si="51"/>
        <v>0</v>
      </c>
      <c r="R70" s="78">
        <f t="shared" si="51"/>
        <v>0</v>
      </c>
      <c r="S70" s="78">
        <f>SUM(G70:R70)</f>
        <v>0</v>
      </c>
      <c r="T70" s="96"/>
      <c r="U70" s="78">
        <f t="shared" ref="U70:AF70" si="52">U68-U69</f>
        <v>-63420.333333333336</v>
      </c>
      <c r="V70" s="78">
        <f t="shared" si="52"/>
        <v>-63310.333333333336</v>
      </c>
      <c r="W70" s="78">
        <f t="shared" si="52"/>
        <v>-63365.333333333336</v>
      </c>
      <c r="X70" s="78">
        <f t="shared" si="52"/>
        <v>-63310.333333333336</v>
      </c>
      <c r="Y70" s="78">
        <f t="shared" si="52"/>
        <v>-63365.333333333336</v>
      </c>
      <c r="Z70" s="78">
        <f t="shared" si="52"/>
        <v>-63365.333333333336</v>
      </c>
      <c r="AA70" s="78">
        <f t="shared" si="52"/>
        <v>-63310.333333333336</v>
      </c>
      <c r="AB70" s="78">
        <f t="shared" si="52"/>
        <v>-63475.333333333336</v>
      </c>
      <c r="AC70" s="78">
        <f t="shared" si="52"/>
        <v>-63255.333333333336</v>
      </c>
      <c r="AD70" s="78">
        <f t="shared" si="52"/>
        <v>-63475.333333333336</v>
      </c>
      <c r="AE70" s="78">
        <f t="shared" si="52"/>
        <v>-63420.333333333336</v>
      </c>
      <c r="AF70" s="78">
        <f t="shared" si="52"/>
        <v>-63200.333333333336</v>
      </c>
      <c r="AG70" s="78">
        <f>SUM(U70:AF70)</f>
        <v>-760274.00000000012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53">C70/C10</f>
        <v>#DIV/0!</v>
      </c>
      <c r="D71" s="80" t="e">
        <f t="shared" si="53"/>
        <v>#DIV/0!</v>
      </c>
      <c r="E71" s="80" t="e">
        <f t="shared" si="53"/>
        <v>#DIV/0!</v>
      </c>
      <c r="G71" s="80" t="e">
        <f t="shared" ref="G71:S71" si="54">G70/G10</f>
        <v>#DIV/0!</v>
      </c>
      <c r="H71" s="80" t="e">
        <f t="shared" si="54"/>
        <v>#DIV/0!</v>
      </c>
      <c r="I71" s="80" t="e">
        <f t="shared" si="54"/>
        <v>#DIV/0!</v>
      </c>
      <c r="J71" s="80" t="e">
        <f t="shared" si="54"/>
        <v>#DIV/0!</v>
      </c>
      <c r="K71" s="80" t="e">
        <f t="shared" si="54"/>
        <v>#DIV/0!</v>
      </c>
      <c r="L71" s="80" t="e">
        <f t="shared" si="54"/>
        <v>#DIV/0!</v>
      </c>
      <c r="M71" s="80" t="e">
        <f t="shared" si="54"/>
        <v>#DIV/0!</v>
      </c>
      <c r="N71" s="80" t="e">
        <f t="shared" si="54"/>
        <v>#DIV/0!</v>
      </c>
      <c r="O71" s="80" t="e">
        <f t="shared" si="54"/>
        <v>#DIV/0!</v>
      </c>
      <c r="P71" s="80" t="e">
        <f t="shared" si="54"/>
        <v>#DIV/0!</v>
      </c>
      <c r="Q71" s="80" t="e">
        <f t="shared" si="54"/>
        <v>#DIV/0!</v>
      </c>
      <c r="R71" s="80" t="e">
        <f t="shared" si="54"/>
        <v>#DIV/0!</v>
      </c>
      <c r="S71" s="80" t="e">
        <f t="shared" si="54"/>
        <v>#DIV/0!</v>
      </c>
      <c r="U71" s="80" t="e">
        <f t="shared" ref="U71:AG71" si="55">U70/U10</f>
        <v>#DIV/0!</v>
      </c>
      <c r="V71" s="80" t="e">
        <f t="shared" si="55"/>
        <v>#DIV/0!</v>
      </c>
      <c r="W71" s="80" t="e">
        <f t="shared" si="55"/>
        <v>#DIV/0!</v>
      </c>
      <c r="X71" s="80" t="e">
        <f t="shared" si="55"/>
        <v>#DIV/0!</v>
      </c>
      <c r="Y71" s="80" t="e">
        <f t="shared" si="55"/>
        <v>#DIV/0!</v>
      </c>
      <c r="Z71" s="80" t="e">
        <f t="shared" si="55"/>
        <v>#DIV/0!</v>
      </c>
      <c r="AA71" s="80" t="e">
        <f t="shared" si="55"/>
        <v>#DIV/0!</v>
      </c>
      <c r="AB71" s="80" t="e">
        <f t="shared" si="55"/>
        <v>#DIV/0!</v>
      </c>
      <c r="AC71" s="80" t="e">
        <f t="shared" si="55"/>
        <v>#DIV/0!</v>
      </c>
      <c r="AD71" s="80" t="e">
        <f t="shared" si="55"/>
        <v>#DIV/0!</v>
      </c>
      <c r="AE71" s="80" t="e">
        <f t="shared" si="55"/>
        <v>#DIV/0!</v>
      </c>
      <c r="AF71" s="80" t="e">
        <f t="shared" si="55"/>
        <v>#DIV/0!</v>
      </c>
      <c r="AG71" s="80" t="e">
        <f t="shared" si="55"/>
        <v>#DIV/0!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56">C64+C73</f>
        <v>0</v>
      </c>
      <c r="D74" s="84">
        <f t="shared" si="56"/>
        <v>0</v>
      </c>
      <c r="E74" s="84">
        <f t="shared" si="56"/>
        <v>0</v>
      </c>
      <c r="G74" s="84">
        <f t="shared" ref="G74:R74" si="57">G64+G73</f>
        <v>0</v>
      </c>
      <c r="H74" s="84">
        <f t="shared" si="57"/>
        <v>0</v>
      </c>
      <c r="I74" s="84">
        <f t="shared" si="57"/>
        <v>0</v>
      </c>
      <c r="J74" s="84">
        <f t="shared" si="57"/>
        <v>0</v>
      </c>
      <c r="K74" s="84">
        <f t="shared" si="57"/>
        <v>0</v>
      </c>
      <c r="L74" s="84">
        <f t="shared" si="57"/>
        <v>0</v>
      </c>
      <c r="M74" s="84">
        <f t="shared" si="57"/>
        <v>0</v>
      </c>
      <c r="N74" s="84">
        <f t="shared" si="57"/>
        <v>0</v>
      </c>
      <c r="O74" s="84">
        <f t="shared" si="57"/>
        <v>0</v>
      </c>
      <c r="P74" s="84">
        <f t="shared" si="57"/>
        <v>0</v>
      </c>
      <c r="Q74" s="84">
        <f t="shared" si="57"/>
        <v>0</v>
      </c>
      <c r="R74" s="84">
        <f t="shared" si="57"/>
        <v>0</v>
      </c>
      <c r="S74" s="84">
        <f>SUM(G74:R74)</f>
        <v>0</v>
      </c>
      <c r="U74" s="84">
        <f t="shared" ref="U74:AF74" si="58">U64+U73</f>
        <v>-63420.333333333336</v>
      </c>
      <c r="V74" s="84">
        <f t="shared" si="58"/>
        <v>-63310.333333333336</v>
      </c>
      <c r="W74" s="84">
        <f t="shared" si="58"/>
        <v>-63365.333333333336</v>
      </c>
      <c r="X74" s="84">
        <f t="shared" si="58"/>
        <v>-63310.333333333336</v>
      </c>
      <c r="Y74" s="84">
        <f t="shared" si="58"/>
        <v>-63365.333333333336</v>
      </c>
      <c r="Z74" s="84">
        <f t="shared" si="58"/>
        <v>-63365.333333333336</v>
      </c>
      <c r="AA74" s="84">
        <f t="shared" si="58"/>
        <v>-63310.333333333336</v>
      </c>
      <c r="AB74" s="84">
        <f t="shared" si="58"/>
        <v>-63475.333333333336</v>
      </c>
      <c r="AC74" s="84">
        <f t="shared" si="58"/>
        <v>-63255.333333333336</v>
      </c>
      <c r="AD74" s="84">
        <f t="shared" si="58"/>
        <v>-63475.333333333336</v>
      </c>
      <c r="AE74" s="84">
        <f t="shared" si="58"/>
        <v>-63420.333333333336</v>
      </c>
      <c r="AF74" s="84">
        <f t="shared" si="58"/>
        <v>-63200.333333333336</v>
      </c>
      <c r="AG74" s="84">
        <f>SUM(U74:AF74)</f>
        <v>-760274.00000000012</v>
      </c>
    </row>
    <row r="75" spans="1:33" s="110" customFormat="1">
      <c r="A75" s="85">
        <v>9790</v>
      </c>
      <c r="B75" s="86" t="s">
        <v>129</v>
      </c>
      <c r="C75" s="56" t="e">
        <f t="shared" ref="C75:E75" si="59">C74/C10</f>
        <v>#DIV/0!</v>
      </c>
      <c r="D75" s="56" t="e">
        <f t="shared" si="59"/>
        <v>#DIV/0!</v>
      </c>
      <c r="E75" s="56" t="e">
        <f t="shared" si="59"/>
        <v>#DIV/0!</v>
      </c>
      <c r="G75" s="56" t="e">
        <f t="shared" ref="G75:S75" si="60">G74/G10</f>
        <v>#DIV/0!</v>
      </c>
      <c r="H75" s="56" t="e">
        <f t="shared" si="60"/>
        <v>#DIV/0!</v>
      </c>
      <c r="I75" s="56" t="e">
        <f t="shared" si="60"/>
        <v>#DIV/0!</v>
      </c>
      <c r="J75" s="56" t="e">
        <f t="shared" si="60"/>
        <v>#DIV/0!</v>
      </c>
      <c r="K75" s="56" t="e">
        <f t="shared" si="60"/>
        <v>#DIV/0!</v>
      </c>
      <c r="L75" s="56" t="e">
        <f t="shared" si="60"/>
        <v>#DIV/0!</v>
      </c>
      <c r="M75" s="56" t="e">
        <f t="shared" si="60"/>
        <v>#DIV/0!</v>
      </c>
      <c r="N75" s="56" t="e">
        <f t="shared" si="60"/>
        <v>#DIV/0!</v>
      </c>
      <c r="O75" s="56" t="e">
        <f t="shared" si="60"/>
        <v>#DIV/0!</v>
      </c>
      <c r="P75" s="56" t="e">
        <f t="shared" si="60"/>
        <v>#DIV/0!</v>
      </c>
      <c r="Q75" s="56" t="e">
        <f t="shared" si="60"/>
        <v>#DIV/0!</v>
      </c>
      <c r="R75" s="56" t="e">
        <f t="shared" si="60"/>
        <v>#DIV/0!</v>
      </c>
      <c r="S75" s="56" t="e">
        <f t="shared" si="60"/>
        <v>#DIV/0!</v>
      </c>
      <c r="T75" s="109"/>
      <c r="U75" s="56" t="e">
        <f t="shared" ref="U75:AG75" si="61">U74/U10</f>
        <v>#DIV/0!</v>
      </c>
      <c r="V75" s="56" t="e">
        <f t="shared" si="61"/>
        <v>#DIV/0!</v>
      </c>
      <c r="W75" s="56" t="e">
        <f t="shared" si="61"/>
        <v>#DIV/0!</v>
      </c>
      <c r="X75" s="56" t="e">
        <f t="shared" si="61"/>
        <v>#DIV/0!</v>
      </c>
      <c r="Y75" s="56" t="e">
        <f t="shared" si="61"/>
        <v>#DIV/0!</v>
      </c>
      <c r="Z75" s="56" t="e">
        <f t="shared" si="61"/>
        <v>#DIV/0!</v>
      </c>
      <c r="AA75" s="56" t="e">
        <f t="shared" si="61"/>
        <v>#DIV/0!</v>
      </c>
      <c r="AB75" s="56" t="e">
        <f t="shared" si="61"/>
        <v>#DIV/0!</v>
      </c>
      <c r="AC75" s="56" t="e">
        <f t="shared" si="61"/>
        <v>#DIV/0!</v>
      </c>
      <c r="AD75" s="56" t="e">
        <f t="shared" si="61"/>
        <v>#DIV/0!</v>
      </c>
      <c r="AE75" s="56" t="e">
        <f t="shared" si="61"/>
        <v>#DIV/0!</v>
      </c>
      <c r="AF75" s="56" t="e">
        <f t="shared" si="61"/>
        <v>#DIV/0!</v>
      </c>
      <c r="AG75" s="56" t="e">
        <f t="shared" si="61"/>
        <v>#DIV/0!</v>
      </c>
    </row>
    <row r="76" spans="1:33">
      <c r="C76" s="111">
        <v>0.19659571563606479</v>
      </c>
      <c r="D76" s="111">
        <v>0.2027954116801734</v>
      </c>
      <c r="E76" s="111">
        <v>0.20809003662382283</v>
      </c>
      <c r="G76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U16" activePane="bottomRight" state="frozen"/>
      <selection activeCell="W50" sqref="W50"/>
      <selection pane="topRight" activeCell="W50" sqref="W50"/>
      <selection pane="bottomLeft" activeCell="W50" sqref="W50"/>
      <selection pane="bottomRight" activeCell="B34" sqref="B34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6.85546875" style="45" customWidth="1"/>
    <col min="21" max="32" width="13.28515625" style="45" customWidth="1" outlineLevel="1"/>
    <col min="33" max="33" width="16" style="45" customWidth="1"/>
    <col min="34" max="16384" width="10.85546875" style="45"/>
  </cols>
  <sheetData>
    <row r="1" spans="1:34" s="88" customFormat="1">
      <c r="A1" s="36"/>
      <c r="B1" s="37" t="s">
        <v>77</v>
      </c>
    </row>
    <row r="2" spans="1:34" s="90" customFormat="1">
      <c r="A2" s="231">
        <v>8200</v>
      </c>
      <c r="B2" s="232" t="s">
        <v>72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212">
        <v>2017</v>
      </c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  <c r="AH2" s="212">
        <v>2017</v>
      </c>
    </row>
    <row r="3" spans="1:34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158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  <c r="AH3" s="158"/>
    </row>
    <row r="4" spans="1:34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158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  <c r="AH4" s="158"/>
    </row>
    <row r="5" spans="1:34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T5" s="171"/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  <c r="AH5" s="171"/>
    </row>
    <row r="6" spans="1:34" s="96" customFormat="1" collapsed="1">
      <c r="A6" s="39">
        <v>1200</v>
      </c>
      <c r="B6" s="40" t="s">
        <v>81</v>
      </c>
      <c r="C6" s="41">
        <f>Služby!C18+Služby!C21+Služby!C24</f>
        <v>0</v>
      </c>
      <c r="D6" s="41">
        <f>Služby!D18+Služby!D21+Služby!D24</f>
        <v>0</v>
      </c>
      <c r="E6" s="41">
        <f>Služby!E18+Služby!E21+Služby!E24</f>
        <v>833000</v>
      </c>
      <c r="G6" s="41">
        <f>Služby!G18+Služby!G21+Služby!G24</f>
        <v>933000.0007995792</v>
      </c>
      <c r="H6" s="41">
        <f>Služby!H18+Služby!H21+Služby!H24</f>
        <v>961472.71515624586</v>
      </c>
      <c r="I6" s="41">
        <f>Služby!I18+Služby!I21+Služby!I24</f>
        <v>1217612.7630203082</v>
      </c>
      <c r="J6" s="41">
        <f>Služby!J18+Služby!J21+Služby!J24</f>
        <v>987828.63460080989</v>
      </c>
      <c r="K6" s="41">
        <f>Služby!K18+Služby!K21+Služby!K24</f>
        <v>1007461.1562371356</v>
      </c>
      <c r="L6" s="41">
        <f>Služby!L18+Služby!L21+Služby!L24</f>
        <v>1146564.6166397308</v>
      </c>
      <c r="M6" s="41">
        <f>Služby!M18+Služby!M21+Služby!M24</f>
        <v>993042.31706063938</v>
      </c>
      <c r="N6" s="41">
        <f>Služby!N18+Služby!N21+Služby!N24</f>
        <v>1358448.6929280874</v>
      </c>
      <c r="O6" s="41">
        <f>Služby!O18+Služby!O21+Služby!O24</f>
        <v>1365922.2267579641</v>
      </c>
      <c r="P6" s="41">
        <f>Služby!P18+Služby!P21+Služby!P24</f>
        <v>1186876.8479171614</v>
      </c>
      <c r="Q6" s="41">
        <f>Služby!Q18+Služby!Q21+Služby!Q24</f>
        <v>1093163.5395076142</v>
      </c>
      <c r="R6" s="41">
        <f>Služby!R18+Služby!R21+Služby!R24</f>
        <v>1043648.8914442884</v>
      </c>
      <c r="S6" s="41">
        <f t="shared" si="0"/>
        <v>13295042.402069565</v>
      </c>
      <c r="T6" s="211"/>
      <c r="U6" s="41">
        <f>Služby!U18+Služby!U21+Služby!U24</f>
        <v>0</v>
      </c>
      <c r="V6" s="41">
        <f>Služby!V18+Služby!V21+Služby!V24</f>
        <v>182636.30864783895</v>
      </c>
      <c r="W6" s="41">
        <f>Služby!W18+Služby!W21+Služby!W24</f>
        <v>1819077.7791683241</v>
      </c>
      <c r="X6" s="41">
        <f>Služby!X18+Služby!X21+Služby!X24</f>
        <v>366871.19963943487</v>
      </c>
      <c r="Y6" s="41">
        <f>Služby!Y18+Služby!Y21+Služby!Y24</f>
        <v>502427.95504390897</v>
      </c>
      <c r="Z6" s="41">
        <f>Služby!Z18+Služby!Z21+Služby!Z24</f>
        <v>1415057.7248282435</v>
      </c>
      <c r="AA6" s="41">
        <f>Služby!AA18+Služby!AA21+Služby!AA24</f>
        <v>406865.4234198365</v>
      </c>
      <c r="AB6" s="41">
        <f>Služby!AB18+Služby!AB21+Služby!AB24</f>
        <v>2779686.5865090922</v>
      </c>
      <c r="AC6" s="41">
        <f>Služby!AC18+Služby!AC21+Služby!AC24</f>
        <v>2842041.5273173633</v>
      </c>
      <c r="AD6" s="41">
        <f>Služby!AD18+Služby!AD21+Služby!AD24</f>
        <v>1728919.4690816337</v>
      </c>
      <c r="AE6" s="41">
        <f>Služby!AE18+Služby!AE21+Služby!AE24</f>
        <v>1043777.2252702154</v>
      </c>
      <c r="AF6" s="41">
        <f>Služby!AF18+Služby!AF21+Služby!AF24</f>
        <v>712638.80107410869</v>
      </c>
      <c r="AG6" s="41">
        <f t="shared" si="1"/>
        <v>13800000.000000002</v>
      </c>
      <c r="AH6" s="211"/>
    </row>
    <row r="7" spans="1:34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T7" s="211" t="e">
        <f>SUM(G7:O7)/SUM($G$5:$O$5)</f>
        <v>#DIV/0!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  <c r="AH7" s="211" t="e">
        <f>SUM(U7:AC7)/SUM($G$5:$O$5)</f>
        <v>#DIV/0!</v>
      </c>
    </row>
    <row r="8" spans="1:34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4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4" s="96" customFormat="1" collapsed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833000</v>
      </c>
      <c r="G10" s="107">
        <f t="shared" ref="G10:R10" si="3">SUM(G5:G9)</f>
        <v>933000.0007995792</v>
      </c>
      <c r="H10" s="107">
        <f t="shared" si="3"/>
        <v>961472.71515624586</v>
      </c>
      <c r="I10" s="107">
        <f t="shared" si="3"/>
        <v>1217612.7630203082</v>
      </c>
      <c r="J10" s="107">
        <f t="shared" si="3"/>
        <v>987828.63460080989</v>
      </c>
      <c r="K10" s="107">
        <f t="shared" si="3"/>
        <v>1007461.1562371356</v>
      </c>
      <c r="L10" s="107">
        <f t="shared" si="3"/>
        <v>1146564.6166397308</v>
      </c>
      <c r="M10" s="107">
        <f t="shared" si="3"/>
        <v>993042.31706063938</v>
      </c>
      <c r="N10" s="107">
        <f t="shared" si="3"/>
        <v>1358448.6929280874</v>
      </c>
      <c r="O10" s="107">
        <f t="shared" si="3"/>
        <v>1365922.2267579641</v>
      </c>
      <c r="P10" s="107">
        <f t="shared" si="3"/>
        <v>1186876.8479171614</v>
      </c>
      <c r="Q10" s="107">
        <f t="shared" si="3"/>
        <v>1093163.5395076142</v>
      </c>
      <c r="R10" s="107">
        <f t="shared" si="3"/>
        <v>1043648.8914442884</v>
      </c>
      <c r="S10" s="107">
        <f t="shared" si="0"/>
        <v>13295042.402069565</v>
      </c>
      <c r="U10" s="107">
        <f t="shared" ref="U10:AF10" si="4">SUM(U5:U9)</f>
        <v>0</v>
      </c>
      <c r="V10" s="107">
        <f t="shared" si="4"/>
        <v>182636.30864783895</v>
      </c>
      <c r="W10" s="107">
        <f t="shared" si="4"/>
        <v>1819077.7791683241</v>
      </c>
      <c r="X10" s="107">
        <f t="shared" si="4"/>
        <v>366871.19963943487</v>
      </c>
      <c r="Y10" s="107">
        <f t="shared" si="4"/>
        <v>502427.95504390897</v>
      </c>
      <c r="Z10" s="107">
        <f t="shared" si="4"/>
        <v>1415057.7248282435</v>
      </c>
      <c r="AA10" s="107">
        <f t="shared" si="4"/>
        <v>406865.4234198365</v>
      </c>
      <c r="AB10" s="107">
        <f t="shared" si="4"/>
        <v>2779686.5865090922</v>
      </c>
      <c r="AC10" s="107">
        <f t="shared" si="4"/>
        <v>2842041.5273173633</v>
      </c>
      <c r="AD10" s="107">
        <f t="shared" si="4"/>
        <v>1728919.4690816337</v>
      </c>
      <c r="AE10" s="107">
        <f t="shared" si="4"/>
        <v>1043777.2252702154</v>
      </c>
      <c r="AF10" s="107">
        <f t="shared" si="4"/>
        <v>712638.80107410869</v>
      </c>
      <c r="AG10" s="107">
        <f t="shared" si="1"/>
        <v>13800000.000000002</v>
      </c>
    </row>
    <row r="11" spans="1:34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4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4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4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4" s="96" customFormat="1" ht="26.1" customHeight="1" collapsed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T15" s="211">
        <f>SUM(G15:O15)/SUM($G$10:$O$10)</f>
        <v>0</v>
      </c>
      <c r="U15" s="41">
        <f>U6*$AH15</f>
        <v>0</v>
      </c>
      <c r="V15" s="41">
        <f t="shared" ref="V15:AF15" si="8">V6*$AH15</f>
        <v>3652.726172956779</v>
      </c>
      <c r="W15" s="41">
        <f t="shared" si="8"/>
        <v>36381.555583366484</v>
      </c>
      <c r="X15" s="41">
        <f t="shared" si="8"/>
        <v>7337.4239927886974</v>
      </c>
      <c r="Y15" s="41">
        <f t="shared" si="8"/>
        <v>10048.559100878179</v>
      </c>
      <c r="Z15" s="41">
        <f t="shared" si="8"/>
        <v>28301.154496564872</v>
      </c>
      <c r="AA15" s="41">
        <f t="shared" si="8"/>
        <v>8137.3084683967299</v>
      </c>
      <c r="AB15" s="41">
        <f t="shared" si="8"/>
        <v>55593.731730181848</v>
      </c>
      <c r="AC15" s="41">
        <f t="shared" si="8"/>
        <v>56840.830546347264</v>
      </c>
      <c r="AD15" s="41">
        <f t="shared" si="8"/>
        <v>34578.389381632674</v>
      </c>
      <c r="AE15" s="41">
        <f t="shared" si="8"/>
        <v>20875.544505404308</v>
      </c>
      <c r="AF15" s="41">
        <f t="shared" si="8"/>
        <v>14252.776021482174</v>
      </c>
      <c r="AG15" s="41">
        <f t="shared" si="1"/>
        <v>276000</v>
      </c>
      <c r="AH15" s="211">
        <v>0.02</v>
      </c>
    </row>
    <row r="16" spans="1:34" s="96" customFormat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T16" s="211">
        <f>SUM(G16:O16)/SUM($G$10:$O$10)</f>
        <v>0</v>
      </c>
      <c r="U16" s="234">
        <f>VLOOKUP($A$2,osobni!$F$31:$EQ$44,osobni!EE$3,FALSE)</f>
        <v>647428.79999999993</v>
      </c>
      <c r="V16" s="234">
        <f>VLOOKUP($A$2,osobni!$F$31:$EQ$44,osobni!EF$3,FALSE)</f>
        <v>646108.79999999993</v>
      </c>
      <c r="W16" s="234">
        <f>VLOOKUP($A$2,osobni!$F$31:$EQ$44,osobni!EG$3,FALSE)</f>
        <v>646768.79999999993</v>
      </c>
      <c r="X16" s="234">
        <f>VLOOKUP($A$2,osobni!$F$31:$EQ$44,osobni!EH$3,FALSE)</f>
        <v>646108.79999999993</v>
      </c>
      <c r="Y16" s="234">
        <f>VLOOKUP($A$2,osobni!$F$31:$EQ$44,osobni!EI$3,FALSE)</f>
        <v>646768.79999999993</v>
      </c>
      <c r="Z16" s="234">
        <f>VLOOKUP($A$2,osobni!$F$31:$EQ$44,osobni!EJ$3,FALSE)</f>
        <v>646768.79999999993</v>
      </c>
      <c r="AA16" s="234">
        <f>VLOOKUP($A$2,osobni!$F$31:$EQ$44,osobni!EK$3,FALSE)</f>
        <v>646108.79999999993</v>
      </c>
      <c r="AB16" s="234">
        <f>VLOOKUP($A$2,osobni!$F$31:$EQ$44,osobni!EL$3,FALSE)</f>
        <v>648088.79999999993</v>
      </c>
      <c r="AC16" s="234">
        <f>VLOOKUP($A$2,osobni!$F$31:$EQ$44,osobni!EM$3,FALSE)</f>
        <v>645448.79999999993</v>
      </c>
      <c r="AD16" s="234">
        <f>VLOOKUP($A$2,osobni!$F$31:$EQ$44,osobni!EN$3,FALSE)</f>
        <v>648088.79999999993</v>
      </c>
      <c r="AE16" s="234">
        <f>VLOOKUP($A$2,osobni!$F$31:$EQ$44,osobni!EO$3,FALSE)</f>
        <v>647428.79999999993</v>
      </c>
      <c r="AF16" s="234">
        <f>VLOOKUP($A$2,osobni!$F$31:$EQ$44,osobni!EP$3,FALSE)</f>
        <v>644788.79999999993</v>
      </c>
      <c r="AG16" s="51">
        <f t="shared" ref="AG16" si="9">SUM(U16:AF16)</f>
        <v>7759905.5999999987</v>
      </c>
      <c r="AH16" s="211"/>
    </row>
    <row r="17" spans="1:43" s="96" customFormat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T17" s="211">
        <f>SUM(G17:O17)/SUM($G$10:$O$10)</f>
        <v>0</v>
      </c>
      <c r="U17" s="44">
        <f>U6*$AH17</f>
        <v>0</v>
      </c>
      <c r="V17" s="44">
        <f t="shared" ref="V17:AF17" si="10">V6*$AH17</f>
        <v>913.18154323919475</v>
      </c>
      <c r="W17" s="44">
        <f t="shared" si="10"/>
        <v>9095.388895841621</v>
      </c>
      <c r="X17" s="44">
        <f t="shared" si="10"/>
        <v>1834.3559981971744</v>
      </c>
      <c r="Y17" s="44">
        <f t="shared" si="10"/>
        <v>2512.1397752195448</v>
      </c>
      <c r="Z17" s="44">
        <f t="shared" si="10"/>
        <v>7075.288624141218</v>
      </c>
      <c r="AA17" s="44">
        <f t="shared" si="10"/>
        <v>2034.3271170991825</v>
      </c>
      <c r="AB17" s="44">
        <f t="shared" si="10"/>
        <v>13898.432932545462</v>
      </c>
      <c r="AC17" s="44">
        <f t="shared" si="10"/>
        <v>14210.207636586816</v>
      </c>
      <c r="AD17" s="44">
        <f t="shared" si="10"/>
        <v>8644.5973454081686</v>
      </c>
      <c r="AE17" s="44">
        <f t="shared" si="10"/>
        <v>5218.8861263510771</v>
      </c>
      <c r="AF17" s="44">
        <f t="shared" si="10"/>
        <v>3563.1940053705434</v>
      </c>
      <c r="AG17" s="44">
        <f t="shared" si="1"/>
        <v>69000</v>
      </c>
      <c r="AH17" s="215">
        <v>5.0000000000000001E-3</v>
      </c>
    </row>
    <row r="18" spans="1:43" s="96" customFormat="1" outlineLevel="1">
      <c r="A18" s="45">
        <v>9120</v>
      </c>
      <c r="B18" s="46" t="s">
        <v>92</v>
      </c>
      <c r="C18" s="107">
        <f t="shared" ref="C18:E18" si="11">SUM(C15:C17)</f>
        <v>0</v>
      </c>
      <c r="D18" s="107">
        <f t="shared" si="11"/>
        <v>0</v>
      </c>
      <c r="E18" s="107">
        <f t="shared" si="11"/>
        <v>0</v>
      </c>
      <c r="G18" s="107">
        <f t="shared" ref="G18:R18" si="12">SUM(G15:G17)</f>
        <v>0</v>
      </c>
      <c r="H18" s="107">
        <f t="shared" si="12"/>
        <v>0</v>
      </c>
      <c r="I18" s="107">
        <f t="shared" si="12"/>
        <v>0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0"/>
        <v>0</v>
      </c>
      <c r="U18" s="107">
        <f t="shared" ref="U18:AF18" si="13">SUM(U15:U17)</f>
        <v>647428.79999999993</v>
      </c>
      <c r="V18" s="107">
        <f t="shared" si="13"/>
        <v>650674.70771619584</v>
      </c>
      <c r="W18" s="107">
        <f t="shared" si="13"/>
        <v>692245.74447920814</v>
      </c>
      <c r="X18" s="107">
        <f t="shared" si="13"/>
        <v>655280.5799909858</v>
      </c>
      <c r="Y18" s="107">
        <f t="shared" si="13"/>
        <v>659329.49887609761</v>
      </c>
      <c r="Z18" s="107">
        <f t="shared" si="13"/>
        <v>682145.24312070606</v>
      </c>
      <c r="AA18" s="107">
        <f t="shared" si="13"/>
        <v>656280.4355854959</v>
      </c>
      <c r="AB18" s="107">
        <f t="shared" si="13"/>
        <v>717580.9646627272</v>
      </c>
      <c r="AC18" s="107">
        <f t="shared" si="13"/>
        <v>716499.83818293409</v>
      </c>
      <c r="AD18" s="107">
        <f t="shared" si="13"/>
        <v>691311.78672704077</v>
      </c>
      <c r="AE18" s="107">
        <f t="shared" si="13"/>
        <v>673523.23063175532</v>
      </c>
      <c r="AF18" s="107">
        <f t="shared" si="13"/>
        <v>662604.77002685261</v>
      </c>
      <c r="AG18" s="107">
        <f t="shared" si="1"/>
        <v>8104905.5999999987</v>
      </c>
    </row>
    <row r="19" spans="1:43" s="96" customFormat="1" hidden="1" outlineLevel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 outlineLevel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>
      <c r="A21" s="50">
        <v>9100</v>
      </c>
      <c r="B21" s="50" t="s">
        <v>61</v>
      </c>
      <c r="C21" s="107">
        <f t="shared" ref="C21:E21" si="14">SUM(C14,C18,C19,C20)</f>
        <v>0</v>
      </c>
      <c r="D21" s="107">
        <f t="shared" si="14"/>
        <v>0</v>
      </c>
      <c r="E21" s="107">
        <f t="shared" si="14"/>
        <v>0</v>
      </c>
      <c r="G21" s="107">
        <f t="shared" ref="G21:R21" si="15">SUM(G14,G18,G19,G20)</f>
        <v>0</v>
      </c>
      <c r="H21" s="107">
        <f t="shared" si="15"/>
        <v>0</v>
      </c>
      <c r="I21" s="107">
        <f t="shared" si="15"/>
        <v>0</v>
      </c>
      <c r="J21" s="107">
        <f t="shared" si="15"/>
        <v>0</v>
      </c>
      <c r="K21" s="107">
        <f t="shared" si="15"/>
        <v>0</v>
      </c>
      <c r="L21" s="107">
        <f t="shared" si="15"/>
        <v>0</v>
      </c>
      <c r="M21" s="107">
        <f t="shared" si="15"/>
        <v>0</v>
      </c>
      <c r="N21" s="107">
        <f t="shared" si="15"/>
        <v>0</v>
      </c>
      <c r="O21" s="107">
        <f t="shared" si="15"/>
        <v>0</v>
      </c>
      <c r="P21" s="107">
        <f t="shared" si="15"/>
        <v>0</v>
      </c>
      <c r="Q21" s="107">
        <f t="shared" si="15"/>
        <v>0</v>
      </c>
      <c r="R21" s="107">
        <f t="shared" si="15"/>
        <v>0</v>
      </c>
      <c r="S21" s="107">
        <f t="shared" si="0"/>
        <v>0</v>
      </c>
      <c r="U21" s="107">
        <f t="shared" ref="U21:AF21" si="16">SUM(U14,U18,U19,U20)</f>
        <v>647428.79999999993</v>
      </c>
      <c r="V21" s="107">
        <f t="shared" si="16"/>
        <v>650674.70771619584</v>
      </c>
      <c r="W21" s="107">
        <f t="shared" si="16"/>
        <v>692245.74447920814</v>
      </c>
      <c r="X21" s="107">
        <f t="shared" si="16"/>
        <v>655280.5799909858</v>
      </c>
      <c r="Y21" s="107">
        <f t="shared" si="16"/>
        <v>659329.49887609761</v>
      </c>
      <c r="Z21" s="107">
        <f t="shared" si="16"/>
        <v>682145.24312070606</v>
      </c>
      <c r="AA21" s="107">
        <f t="shared" si="16"/>
        <v>656280.4355854959</v>
      </c>
      <c r="AB21" s="107">
        <f t="shared" si="16"/>
        <v>717580.9646627272</v>
      </c>
      <c r="AC21" s="107">
        <f t="shared" si="16"/>
        <v>716499.83818293409</v>
      </c>
      <c r="AD21" s="107">
        <f t="shared" si="16"/>
        <v>691311.78672704077</v>
      </c>
      <c r="AE21" s="107">
        <f t="shared" si="16"/>
        <v>673523.23063175532</v>
      </c>
      <c r="AF21" s="107">
        <f t="shared" si="16"/>
        <v>662604.77002685261</v>
      </c>
      <c r="AG21" s="107">
        <f t="shared" si="1"/>
        <v>8104905.5999999987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 outlineLevel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7">P5-P14</f>
        <v>0</v>
      </c>
      <c r="Q22" s="51">
        <f t="shared" si="17"/>
        <v>0</v>
      </c>
      <c r="R22" s="51">
        <f t="shared" si="17"/>
        <v>0</v>
      </c>
      <c r="S22" s="51">
        <f t="shared" si="0"/>
        <v>0</v>
      </c>
      <c r="U22" s="51">
        <f t="shared" ref="U22:AF22" si="18">U5-U14</f>
        <v>0</v>
      </c>
      <c r="V22" s="51">
        <f t="shared" si="18"/>
        <v>0</v>
      </c>
      <c r="W22" s="51">
        <f t="shared" si="18"/>
        <v>0</v>
      </c>
      <c r="X22" s="51">
        <f t="shared" si="18"/>
        <v>0</v>
      </c>
      <c r="Y22" s="51">
        <f t="shared" si="18"/>
        <v>0</v>
      </c>
      <c r="Z22" s="51">
        <f t="shared" si="18"/>
        <v>0</v>
      </c>
      <c r="AA22" s="51">
        <f t="shared" si="18"/>
        <v>0</v>
      </c>
      <c r="AB22" s="51">
        <f t="shared" si="18"/>
        <v>0</v>
      </c>
      <c r="AC22" s="51">
        <f t="shared" si="18"/>
        <v>0</v>
      </c>
      <c r="AD22" s="51">
        <f t="shared" si="18"/>
        <v>0</v>
      </c>
      <c r="AE22" s="51">
        <f t="shared" si="18"/>
        <v>0</v>
      </c>
      <c r="AF22" s="51">
        <f t="shared" si="18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 outlineLevel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9">P6-P18</f>
        <v>1186876.8479171614</v>
      </c>
      <c r="Q23" s="51">
        <f t="shared" si="19"/>
        <v>1093163.5395076142</v>
      </c>
      <c r="R23" s="51">
        <f t="shared" si="19"/>
        <v>1043648.8914442884</v>
      </c>
      <c r="S23" s="51">
        <f t="shared" si="0"/>
        <v>3323689.2788690636</v>
      </c>
      <c r="U23" s="51">
        <f t="shared" ref="U23:AF25" si="20">U6-U18</f>
        <v>-647428.79999999993</v>
      </c>
      <c r="V23" s="51">
        <f t="shared" si="20"/>
        <v>-468038.3990683569</v>
      </c>
      <c r="W23" s="51">
        <f t="shared" si="20"/>
        <v>1126832.0346891158</v>
      </c>
      <c r="X23" s="51">
        <f t="shared" si="20"/>
        <v>-288409.38035155094</v>
      </c>
      <c r="Y23" s="51">
        <f t="shared" si="20"/>
        <v>-156901.54383218865</v>
      </c>
      <c r="Z23" s="51">
        <f t="shared" si="20"/>
        <v>732912.48170753743</v>
      </c>
      <c r="AA23" s="51">
        <f t="shared" si="20"/>
        <v>-249415.0121656594</v>
      </c>
      <c r="AB23" s="51">
        <f t="shared" si="20"/>
        <v>2062105.621846365</v>
      </c>
      <c r="AC23" s="51">
        <f t="shared" si="20"/>
        <v>2125541.6891344292</v>
      </c>
      <c r="AD23" s="51">
        <f t="shared" si="20"/>
        <v>1037607.682354593</v>
      </c>
      <c r="AE23" s="51">
        <f t="shared" si="20"/>
        <v>370253.99463846011</v>
      </c>
      <c r="AF23" s="51">
        <f t="shared" si="20"/>
        <v>50034.031047256081</v>
      </c>
      <c r="AG23" s="51">
        <f t="shared" si="1"/>
        <v>5695094.4000000004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 outlineLevel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9"/>
        <v>0</v>
      </c>
      <c r="Q24" s="51">
        <f t="shared" si="19"/>
        <v>0</v>
      </c>
      <c r="R24" s="51">
        <f t="shared" si="19"/>
        <v>0</v>
      </c>
      <c r="S24" s="51">
        <f t="shared" si="0"/>
        <v>0</v>
      </c>
      <c r="U24" s="51">
        <f t="shared" si="20"/>
        <v>0</v>
      </c>
      <c r="V24" s="51">
        <f t="shared" si="20"/>
        <v>0</v>
      </c>
      <c r="W24" s="51">
        <f t="shared" si="20"/>
        <v>0</v>
      </c>
      <c r="X24" s="51">
        <f t="shared" si="20"/>
        <v>0</v>
      </c>
      <c r="Y24" s="51">
        <f t="shared" si="20"/>
        <v>0</v>
      </c>
      <c r="Z24" s="51">
        <f t="shared" si="20"/>
        <v>0</v>
      </c>
      <c r="AA24" s="51">
        <f t="shared" si="20"/>
        <v>0</v>
      </c>
      <c r="AB24" s="51">
        <f t="shared" si="20"/>
        <v>0</v>
      </c>
      <c r="AC24" s="51">
        <f t="shared" si="20"/>
        <v>0</v>
      </c>
      <c r="AD24" s="51">
        <f t="shared" si="20"/>
        <v>0</v>
      </c>
      <c r="AE24" s="51">
        <f t="shared" si="20"/>
        <v>0</v>
      </c>
      <c r="AF24" s="51">
        <f t="shared" si="20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 outlineLevel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9"/>
        <v>0</v>
      </c>
      <c r="Q25" s="51">
        <f t="shared" si="19"/>
        <v>0</v>
      </c>
      <c r="R25" s="51">
        <f t="shared" si="19"/>
        <v>0</v>
      </c>
      <c r="S25" s="51">
        <f t="shared" si="0"/>
        <v>0</v>
      </c>
      <c r="U25" s="51">
        <f t="shared" si="20"/>
        <v>0</v>
      </c>
      <c r="V25" s="51">
        <f t="shared" si="20"/>
        <v>0</v>
      </c>
      <c r="W25" s="51">
        <f t="shared" si="20"/>
        <v>0</v>
      </c>
      <c r="X25" s="51">
        <f t="shared" si="20"/>
        <v>0</v>
      </c>
      <c r="Y25" s="51">
        <f t="shared" si="20"/>
        <v>0</v>
      </c>
      <c r="Z25" s="51">
        <f t="shared" si="20"/>
        <v>0</v>
      </c>
      <c r="AA25" s="51">
        <f t="shared" si="20"/>
        <v>0</v>
      </c>
      <c r="AB25" s="51">
        <f t="shared" si="20"/>
        <v>0</v>
      </c>
      <c r="AC25" s="51">
        <f t="shared" si="20"/>
        <v>0</v>
      </c>
      <c r="AD25" s="51">
        <f t="shared" si="20"/>
        <v>0</v>
      </c>
      <c r="AE25" s="51">
        <f t="shared" si="20"/>
        <v>0</v>
      </c>
      <c r="AF25" s="51">
        <f t="shared" si="20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 outlineLevel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21">Q9</f>
        <v>0</v>
      </c>
      <c r="R26" s="51">
        <f t="shared" si="21"/>
        <v>0</v>
      </c>
      <c r="S26" s="51">
        <f t="shared" si="21"/>
        <v>0</v>
      </c>
      <c r="U26" s="51">
        <f t="shared" ref="U26:AF26" si="22">U9</f>
        <v>0</v>
      </c>
      <c r="V26" s="51">
        <f t="shared" si="22"/>
        <v>0</v>
      </c>
      <c r="W26" s="51">
        <f t="shared" si="22"/>
        <v>0</v>
      </c>
      <c r="X26" s="51">
        <f t="shared" si="22"/>
        <v>0</v>
      </c>
      <c r="Y26" s="51">
        <f t="shared" si="22"/>
        <v>0</v>
      </c>
      <c r="Z26" s="51">
        <f t="shared" si="22"/>
        <v>0</v>
      </c>
      <c r="AA26" s="51">
        <f t="shared" si="22"/>
        <v>0</v>
      </c>
      <c r="AB26" s="51">
        <f t="shared" si="22"/>
        <v>0</v>
      </c>
      <c r="AC26" s="51">
        <f t="shared" si="22"/>
        <v>0</v>
      </c>
      <c r="AD26" s="51">
        <f t="shared" si="22"/>
        <v>0</v>
      </c>
      <c r="AE26" s="51">
        <f t="shared" si="22"/>
        <v>0</v>
      </c>
      <c r="AF26" s="51">
        <f t="shared" si="22"/>
        <v>0</v>
      </c>
      <c r="AG26" s="51">
        <f t="shared" ref="AG26" si="23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t="30.95" customHeight="1" collapsed="1">
      <c r="A27" s="42">
        <v>9200</v>
      </c>
      <c r="B27" s="52" t="s">
        <v>2</v>
      </c>
      <c r="C27" s="53">
        <f t="shared" ref="C27:E27" si="24">C10-C21</f>
        <v>0</v>
      </c>
      <c r="D27" s="53">
        <f t="shared" si="24"/>
        <v>0</v>
      </c>
      <c r="E27" s="53">
        <f t="shared" si="24"/>
        <v>833000</v>
      </c>
      <c r="G27" s="53">
        <f t="shared" ref="G27:Q27" si="25">G10-G21</f>
        <v>933000.0007995792</v>
      </c>
      <c r="H27" s="53">
        <f t="shared" si="25"/>
        <v>961472.71515624586</v>
      </c>
      <c r="I27" s="53">
        <f t="shared" si="25"/>
        <v>1217612.7630203082</v>
      </c>
      <c r="J27" s="53">
        <f t="shared" si="25"/>
        <v>987828.63460080989</v>
      </c>
      <c r="K27" s="53">
        <f t="shared" si="25"/>
        <v>1007461.1562371356</v>
      </c>
      <c r="L27" s="53">
        <f t="shared" si="25"/>
        <v>1146564.6166397308</v>
      </c>
      <c r="M27" s="53">
        <f t="shared" si="25"/>
        <v>993042.31706063938</v>
      </c>
      <c r="N27" s="53">
        <f t="shared" si="25"/>
        <v>1358448.6929280874</v>
      </c>
      <c r="O27" s="53">
        <f t="shared" si="25"/>
        <v>1365922.2267579641</v>
      </c>
      <c r="P27" s="53">
        <f t="shared" si="25"/>
        <v>1186876.8479171614</v>
      </c>
      <c r="Q27" s="53">
        <f t="shared" si="25"/>
        <v>1093163.5395076142</v>
      </c>
      <c r="R27" s="53">
        <f t="shared" ref="R27" si="26">R10-R21</f>
        <v>1043648.8914442884</v>
      </c>
      <c r="S27" s="53">
        <f>SUM(G27:R27)</f>
        <v>13295042.402069565</v>
      </c>
      <c r="U27" s="53">
        <f t="shared" ref="U27:AF27" si="27">U10-U21</f>
        <v>-647428.79999999993</v>
      </c>
      <c r="V27" s="53">
        <f t="shared" si="27"/>
        <v>-468038.3990683569</v>
      </c>
      <c r="W27" s="53">
        <f t="shared" si="27"/>
        <v>1126832.0346891158</v>
      </c>
      <c r="X27" s="53">
        <f t="shared" si="27"/>
        <v>-288409.38035155094</v>
      </c>
      <c r="Y27" s="53">
        <f t="shared" si="27"/>
        <v>-156901.54383218865</v>
      </c>
      <c r="Z27" s="53">
        <f t="shared" si="27"/>
        <v>732912.48170753743</v>
      </c>
      <c r="AA27" s="53">
        <f t="shared" si="27"/>
        <v>-249415.0121656594</v>
      </c>
      <c r="AB27" s="53">
        <f t="shared" si="27"/>
        <v>2062105.621846365</v>
      </c>
      <c r="AC27" s="53">
        <f t="shared" si="27"/>
        <v>2125541.6891344292</v>
      </c>
      <c r="AD27" s="53">
        <f t="shared" si="27"/>
        <v>1037607.682354593</v>
      </c>
      <c r="AE27" s="53">
        <f t="shared" si="27"/>
        <v>370253.99463846011</v>
      </c>
      <c r="AF27" s="53">
        <f t="shared" si="27"/>
        <v>50034.031047256081</v>
      </c>
      <c r="AG27" s="53">
        <f t="shared" si="1"/>
        <v>5695094.4000000004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t="26.1" hidden="1" customHeight="1" outlineLevel="1">
      <c r="A28" s="79">
        <v>9291</v>
      </c>
      <c r="B28" s="118" t="s">
        <v>97</v>
      </c>
      <c r="C28" s="119">
        <f t="shared" ref="C28:E28" si="28">IF(C5=0,0,C22/C5)</f>
        <v>0</v>
      </c>
      <c r="D28" s="119">
        <f t="shared" si="28"/>
        <v>0</v>
      </c>
      <c r="E28" s="119">
        <f t="shared" si="28"/>
        <v>0</v>
      </c>
      <c r="G28" s="119">
        <f t="shared" ref="G28:Q28" si="29">IF(G5=0,0,G22/G5)</f>
        <v>0</v>
      </c>
      <c r="H28" s="119">
        <f t="shared" si="29"/>
        <v>0</v>
      </c>
      <c r="I28" s="119">
        <f t="shared" si="29"/>
        <v>0</v>
      </c>
      <c r="J28" s="119">
        <f t="shared" si="29"/>
        <v>0</v>
      </c>
      <c r="K28" s="119">
        <f t="shared" si="29"/>
        <v>0</v>
      </c>
      <c r="L28" s="119">
        <f t="shared" si="29"/>
        <v>0</v>
      </c>
      <c r="M28" s="119">
        <f t="shared" si="29"/>
        <v>0</v>
      </c>
      <c r="N28" s="119">
        <f t="shared" si="29"/>
        <v>0</v>
      </c>
      <c r="O28" s="119">
        <f t="shared" si="29"/>
        <v>0</v>
      </c>
      <c r="P28" s="119">
        <f t="shared" si="29"/>
        <v>0</v>
      </c>
      <c r="Q28" s="119">
        <f t="shared" si="29"/>
        <v>0</v>
      </c>
      <c r="R28" s="119">
        <f t="shared" ref="R28:S32" si="30">IF(R5=0,0,R22/R5)</f>
        <v>0</v>
      </c>
      <c r="S28" s="119">
        <f t="shared" si="30"/>
        <v>0</v>
      </c>
      <c r="T28" s="102"/>
      <c r="U28" s="119">
        <f t="shared" ref="U28:AG32" si="31">IF(U5=0,0,U22/U5)</f>
        <v>0</v>
      </c>
      <c r="V28" s="119">
        <f t="shared" si="31"/>
        <v>0</v>
      </c>
      <c r="W28" s="119">
        <f t="shared" si="31"/>
        <v>0</v>
      </c>
      <c r="X28" s="119">
        <f t="shared" si="31"/>
        <v>0</v>
      </c>
      <c r="Y28" s="119">
        <f t="shared" si="31"/>
        <v>0</v>
      </c>
      <c r="Z28" s="119">
        <f t="shared" si="31"/>
        <v>0</v>
      </c>
      <c r="AA28" s="119">
        <f t="shared" si="31"/>
        <v>0</v>
      </c>
      <c r="AB28" s="119">
        <f t="shared" si="31"/>
        <v>0</v>
      </c>
      <c r="AC28" s="119">
        <f t="shared" si="31"/>
        <v>0</v>
      </c>
      <c r="AD28" s="119">
        <f t="shared" si="31"/>
        <v>0</v>
      </c>
      <c r="AE28" s="119">
        <f t="shared" si="31"/>
        <v>0</v>
      </c>
      <c r="AF28" s="119">
        <f t="shared" si="31"/>
        <v>0</v>
      </c>
      <c r="AG28" s="119">
        <f t="shared" si="31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 outlineLevel="1">
      <c r="A29" s="79">
        <v>9292</v>
      </c>
      <c r="B29" s="118" t="s">
        <v>6</v>
      </c>
      <c r="C29" s="119">
        <f t="shared" ref="C29:E29" si="32">IF(C6=0,0,C23/C6)</f>
        <v>0</v>
      </c>
      <c r="D29" s="119">
        <f t="shared" si="32"/>
        <v>0</v>
      </c>
      <c r="E29" s="119">
        <f t="shared" si="32"/>
        <v>0</v>
      </c>
      <c r="G29" s="119">
        <f t="shared" ref="G29:Q29" si="33">IF(G6=0,0,G23/G6)</f>
        <v>0</v>
      </c>
      <c r="H29" s="119">
        <f t="shared" si="33"/>
        <v>0</v>
      </c>
      <c r="I29" s="119">
        <f t="shared" si="33"/>
        <v>0</v>
      </c>
      <c r="J29" s="119">
        <f t="shared" si="33"/>
        <v>0</v>
      </c>
      <c r="K29" s="119">
        <f t="shared" si="33"/>
        <v>0</v>
      </c>
      <c r="L29" s="119">
        <f t="shared" si="33"/>
        <v>0</v>
      </c>
      <c r="M29" s="119">
        <f t="shared" si="33"/>
        <v>0</v>
      </c>
      <c r="N29" s="119">
        <f t="shared" si="33"/>
        <v>0</v>
      </c>
      <c r="O29" s="119">
        <f t="shared" si="33"/>
        <v>0</v>
      </c>
      <c r="P29" s="119">
        <f t="shared" si="33"/>
        <v>1</v>
      </c>
      <c r="Q29" s="119">
        <f t="shared" si="33"/>
        <v>1</v>
      </c>
      <c r="R29" s="119">
        <f t="shared" si="30"/>
        <v>1</v>
      </c>
      <c r="S29" s="119">
        <f t="shared" si="30"/>
        <v>0.2499946354704129</v>
      </c>
      <c r="T29" s="102"/>
      <c r="U29" s="119">
        <f t="shared" si="31"/>
        <v>0</v>
      </c>
      <c r="V29" s="119">
        <f t="shared" si="31"/>
        <v>-2.5626799103284164</v>
      </c>
      <c r="W29" s="119">
        <f t="shared" si="31"/>
        <v>0.61945236624477895</v>
      </c>
      <c r="X29" s="119">
        <f t="shared" si="31"/>
        <v>-0.78613251908299941</v>
      </c>
      <c r="Y29" s="119">
        <f t="shared" si="31"/>
        <v>-0.31228665176179632</v>
      </c>
      <c r="Z29" s="119">
        <f t="shared" si="31"/>
        <v>0.51793822177572058</v>
      </c>
      <c r="AA29" s="119">
        <f t="shared" si="31"/>
        <v>-0.61301599450069988</v>
      </c>
      <c r="AB29" s="119">
        <f t="shared" si="31"/>
        <v>0.74184824715655762</v>
      </c>
      <c r="AC29" s="119">
        <f t="shared" si="31"/>
        <v>0.74789255142965949</v>
      </c>
      <c r="AD29" s="119">
        <f t="shared" si="31"/>
        <v>0.60014806988422009</v>
      </c>
      <c r="AE29" s="119">
        <f t="shared" si="31"/>
        <v>0.35472511343846186</v>
      </c>
      <c r="AF29" s="119">
        <f t="shared" si="31"/>
        <v>7.0209524056006237E-2</v>
      </c>
      <c r="AG29" s="119">
        <f t="shared" si="31"/>
        <v>0.41268799999999994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 outlineLevel="1">
      <c r="A30" s="79">
        <v>9293</v>
      </c>
      <c r="B30" s="118" t="s">
        <v>7</v>
      </c>
      <c r="C30" s="119">
        <f t="shared" ref="C30:E30" si="34">IF(C7=0,0,C24/C7)</f>
        <v>0</v>
      </c>
      <c r="D30" s="119">
        <f t="shared" si="34"/>
        <v>0</v>
      </c>
      <c r="E30" s="119">
        <f t="shared" si="34"/>
        <v>0</v>
      </c>
      <c r="G30" s="119">
        <f t="shared" ref="G30:Q30" si="35">IF(G7=0,0,G24/G7)</f>
        <v>0</v>
      </c>
      <c r="H30" s="119">
        <f t="shared" si="35"/>
        <v>0</v>
      </c>
      <c r="I30" s="119">
        <f t="shared" si="35"/>
        <v>0</v>
      </c>
      <c r="J30" s="119">
        <f t="shared" si="35"/>
        <v>0</v>
      </c>
      <c r="K30" s="119">
        <f t="shared" si="35"/>
        <v>0</v>
      </c>
      <c r="L30" s="119">
        <f t="shared" si="35"/>
        <v>0</v>
      </c>
      <c r="M30" s="119">
        <f t="shared" si="35"/>
        <v>0</v>
      </c>
      <c r="N30" s="119">
        <f t="shared" si="35"/>
        <v>0</v>
      </c>
      <c r="O30" s="119">
        <f t="shared" si="35"/>
        <v>0</v>
      </c>
      <c r="P30" s="119">
        <f t="shared" si="35"/>
        <v>0</v>
      </c>
      <c r="Q30" s="119">
        <f t="shared" si="35"/>
        <v>0</v>
      </c>
      <c r="R30" s="119">
        <f t="shared" si="30"/>
        <v>0</v>
      </c>
      <c r="S30" s="119">
        <f t="shared" si="30"/>
        <v>0</v>
      </c>
      <c r="T30" s="102"/>
      <c r="U30" s="119">
        <f t="shared" si="31"/>
        <v>0</v>
      </c>
      <c r="V30" s="119">
        <f t="shared" si="31"/>
        <v>0</v>
      </c>
      <c r="W30" s="119">
        <f t="shared" si="31"/>
        <v>0</v>
      </c>
      <c r="X30" s="119">
        <f t="shared" si="31"/>
        <v>0</v>
      </c>
      <c r="Y30" s="119">
        <f t="shared" si="31"/>
        <v>0</v>
      </c>
      <c r="Z30" s="119">
        <f t="shared" si="31"/>
        <v>0</v>
      </c>
      <c r="AA30" s="119">
        <f t="shared" si="31"/>
        <v>0</v>
      </c>
      <c r="AB30" s="119">
        <f t="shared" si="31"/>
        <v>0</v>
      </c>
      <c r="AC30" s="119">
        <f t="shared" si="31"/>
        <v>0</v>
      </c>
      <c r="AD30" s="119">
        <f t="shared" si="31"/>
        <v>0</v>
      </c>
      <c r="AE30" s="119">
        <f t="shared" si="31"/>
        <v>0</v>
      </c>
      <c r="AF30" s="119">
        <f t="shared" si="31"/>
        <v>0</v>
      </c>
      <c r="AG30" s="119">
        <f t="shared" si="31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 outlineLevel="1">
      <c r="A31" s="79">
        <v>9294</v>
      </c>
      <c r="B31" s="118" t="s">
        <v>98</v>
      </c>
      <c r="C31" s="119">
        <f t="shared" ref="C31:E31" si="36">IF(C8=0,0,C25/C8)</f>
        <v>0</v>
      </c>
      <c r="D31" s="119">
        <f t="shared" si="36"/>
        <v>0</v>
      </c>
      <c r="E31" s="119">
        <f t="shared" si="36"/>
        <v>0</v>
      </c>
      <c r="G31" s="119">
        <f t="shared" ref="G31:Q31" si="37">IF(G8=0,0,G25/G8)</f>
        <v>0</v>
      </c>
      <c r="H31" s="119">
        <f t="shared" si="37"/>
        <v>0</v>
      </c>
      <c r="I31" s="119">
        <f t="shared" si="37"/>
        <v>0</v>
      </c>
      <c r="J31" s="119">
        <f t="shared" si="37"/>
        <v>0</v>
      </c>
      <c r="K31" s="119">
        <f t="shared" si="37"/>
        <v>0</v>
      </c>
      <c r="L31" s="119">
        <f t="shared" si="37"/>
        <v>0</v>
      </c>
      <c r="M31" s="119">
        <f t="shared" si="37"/>
        <v>0</v>
      </c>
      <c r="N31" s="119">
        <f t="shared" si="37"/>
        <v>0</v>
      </c>
      <c r="O31" s="119">
        <f t="shared" si="37"/>
        <v>0</v>
      </c>
      <c r="P31" s="119">
        <f t="shared" si="37"/>
        <v>0</v>
      </c>
      <c r="Q31" s="119">
        <f t="shared" si="37"/>
        <v>0</v>
      </c>
      <c r="R31" s="119">
        <f t="shared" si="30"/>
        <v>0</v>
      </c>
      <c r="S31" s="119">
        <f t="shared" si="30"/>
        <v>0</v>
      </c>
      <c r="T31" s="102"/>
      <c r="U31" s="119">
        <f t="shared" si="31"/>
        <v>0</v>
      </c>
      <c r="V31" s="119">
        <f t="shared" si="31"/>
        <v>0</v>
      </c>
      <c r="W31" s="119">
        <f t="shared" si="31"/>
        <v>0</v>
      </c>
      <c r="X31" s="119">
        <f t="shared" si="31"/>
        <v>0</v>
      </c>
      <c r="Y31" s="119">
        <f t="shared" si="31"/>
        <v>0</v>
      </c>
      <c r="Z31" s="119">
        <f t="shared" si="31"/>
        <v>0</v>
      </c>
      <c r="AA31" s="119">
        <f t="shared" si="31"/>
        <v>0</v>
      </c>
      <c r="AB31" s="119">
        <f t="shared" si="31"/>
        <v>0</v>
      </c>
      <c r="AC31" s="119">
        <f t="shared" si="31"/>
        <v>0</v>
      </c>
      <c r="AD31" s="119">
        <f t="shared" si="31"/>
        <v>0</v>
      </c>
      <c r="AE31" s="119">
        <f t="shared" si="31"/>
        <v>0</v>
      </c>
      <c r="AF31" s="119">
        <f t="shared" si="31"/>
        <v>0</v>
      </c>
      <c r="AG31" s="119">
        <f t="shared" si="31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 outlineLevel="1">
      <c r="A32" s="79">
        <v>9294</v>
      </c>
      <c r="B32" s="118" t="s">
        <v>172</v>
      </c>
      <c r="C32" s="119">
        <f t="shared" ref="C32:E32" si="38">IF(C9=0,0,C26/C9)</f>
        <v>0</v>
      </c>
      <c r="D32" s="119">
        <f t="shared" si="38"/>
        <v>0</v>
      </c>
      <c r="E32" s="119">
        <f t="shared" si="38"/>
        <v>0</v>
      </c>
      <c r="G32" s="119">
        <f t="shared" ref="G32:Q32" si="39">IF(G9=0,0,G26/G9)</f>
        <v>0</v>
      </c>
      <c r="H32" s="119">
        <f t="shared" si="39"/>
        <v>0</v>
      </c>
      <c r="I32" s="119">
        <f t="shared" si="39"/>
        <v>0</v>
      </c>
      <c r="J32" s="119">
        <f t="shared" si="39"/>
        <v>0</v>
      </c>
      <c r="K32" s="119">
        <f t="shared" si="39"/>
        <v>0</v>
      </c>
      <c r="L32" s="119">
        <f t="shared" si="39"/>
        <v>0</v>
      </c>
      <c r="M32" s="119">
        <f t="shared" si="39"/>
        <v>0</v>
      </c>
      <c r="N32" s="119">
        <f t="shared" si="39"/>
        <v>0</v>
      </c>
      <c r="O32" s="119">
        <f t="shared" si="39"/>
        <v>0</v>
      </c>
      <c r="P32" s="119">
        <f t="shared" si="39"/>
        <v>0</v>
      </c>
      <c r="Q32" s="119">
        <f t="shared" si="39"/>
        <v>0</v>
      </c>
      <c r="R32" s="119">
        <f t="shared" si="30"/>
        <v>0</v>
      </c>
      <c r="S32" s="119">
        <f t="shared" si="30"/>
        <v>0</v>
      </c>
      <c r="T32" s="102"/>
      <c r="U32" s="119">
        <f t="shared" si="31"/>
        <v>0</v>
      </c>
      <c r="V32" s="119">
        <f t="shared" si="31"/>
        <v>0</v>
      </c>
      <c r="W32" s="119">
        <f t="shared" si="31"/>
        <v>0</v>
      </c>
      <c r="X32" s="119">
        <f t="shared" si="31"/>
        <v>0</v>
      </c>
      <c r="Y32" s="119">
        <f t="shared" si="31"/>
        <v>0</v>
      </c>
      <c r="Z32" s="119">
        <f t="shared" si="31"/>
        <v>0</v>
      </c>
      <c r="AA32" s="119">
        <f t="shared" si="31"/>
        <v>0</v>
      </c>
      <c r="AB32" s="119">
        <f t="shared" si="31"/>
        <v>0</v>
      </c>
      <c r="AC32" s="119">
        <f t="shared" si="31"/>
        <v>0</v>
      </c>
      <c r="AD32" s="119">
        <f t="shared" si="31"/>
        <v>0</v>
      </c>
      <c r="AE32" s="119">
        <f t="shared" si="31"/>
        <v>0</v>
      </c>
      <c r="AF32" s="119">
        <f t="shared" si="31"/>
        <v>0</v>
      </c>
      <c r="AG32" s="119">
        <f t="shared" si="31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t="26.1" customHeight="1" collapsed="1">
      <c r="A33" s="54">
        <v>9290</v>
      </c>
      <c r="B33" s="55" t="s">
        <v>10</v>
      </c>
      <c r="C33" s="56" t="e">
        <f t="shared" ref="C33:E33" si="40">C27/C10</f>
        <v>#DIV/0!</v>
      </c>
      <c r="D33" s="56" t="e">
        <f t="shared" si="40"/>
        <v>#DIV/0!</v>
      </c>
      <c r="E33" s="56">
        <f t="shared" si="40"/>
        <v>1</v>
      </c>
      <c r="G33" s="56">
        <f t="shared" ref="G33:Q33" si="41">G27/G10</f>
        <v>1</v>
      </c>
      <c r="H33" s="56">
        <f t="shared" si="41"/>
        <v>1</v>
      </c>
      <c r="I33" s="56">
        <f t="shared" si="41"/>
        <v>1</v>
      </c>
      <c r="J33" s="56">
        <f t="shared" si="41"/>
        <v>1</v>
      </c>
      <c r="K33" s="56">
        <f t="shared" si="41"/>
        <v>1</v>
      </c>
      <c r="L33" s="56">
        <f t="shared" si="41"/>
        <v>1</v>
      </c>
      <c r="M33" s="56">
        <f t="shared" si="41"/>
        <v>1</v>
      </c>
      <c r="N33" s="56">
        <f t="shared" si="41"/>
        <v>1</v>
      </c>
      <c r="O33" s="56">
        <f t="shared" si="41"/>
        <v>1</v>
      </c>
      <c r="P33" s="56">
        <f t="shared" si="41"/>
        <v>1</v>
      </c>
      <c r="Q33" s="56">
        <f t="shared" si="41"/>
        <v>1</v>
      </c>
      <c r="R33" s="56">
        <f t="shared" ref="R33:S33" si="42">R27/R10</f>
        <v>1</v>
      </c>
      <c r="S33" s="56">
        <f t="shared" si="42"/>
        <v>1</v>
      </c>
      <c r="U33" s="56" t="e">
        <f t="shared" ref="U33:AG33" si="43">U27/U10</f>
        <v>#DIV/0!</v>
      </c>
      <c r="V33" s="56">
        <f t="shared" si="43"/>
        <v>-2.5626799103284164</v>
      </c>
      <c r="W33" s="56">
        <f t="shared" si="43"/>
        <v>0.61945236624477895</v>
      </c>
      <c r="X33" s="56">
        <f t="shared" si="43"/>
        <v>-0.78613251908299941</v>
      </c>
      <c r="Y33" s="56">
        <f t="shared" si="43"/>
        <v>-0.31228665176179632</v>
      </c>
      <c r="Z33" s="56">
        <f t="shared" si="43"/>
        <v>0.51793822177572058</v>
      </c>
      <c r="AA33" s="56">
        <f t="shared" si="43"/>
        <v>-0.61301599450069988</v>
      </c>
      <c r="AB33" s="56">
        <f t="shared" si="43"/>
        <v>0.74184824715655762</v>
      </c>
      <c r="AC33" s="56">
        <f t="shared" si="43"/>
        <v>0.74789255142965949</v>
      </c>
      <c r="AD33" s="56">
        <f t="shared" si="43"/>
        <v>0.60014806988422009</v>
      </c>
      <c r="AE33" s="56">
        <f t="shared" si="43"/>
        <v>0.35472511343846186</v>
      </c>
      <c r="AF33" s="56">
        <f t="shared" si="43"/>
        <v>7.0209524056006237E-2</v>
      </c>
      <c r="AG33" s="56">
        <f t="shared" si="43"/>
        <v>0.41268799999999994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outlineLevel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" si="44">SUM(G34:R34)</f>
        <v>0</v>
      </c>
      <c r="U34" s="51">
        <v>206000</v>
      </c>
      <c r="V34" s="51">
        <v>6000</v>
      </c>
      <c r="W34" s="51">
        <v>6000</v>
      </c>
      <c r="X34" s="51">
        <v>6000</v>
      </c>
      <c r="Y34" s="51">
        <v>6000</v>
      </c>
      <c r="Z34" s="51">
        <v>6000</v>
      </c>
      <c r="AA34" s="51">
        <v>6000</v>
      </c>
      <c r="AB34" s="51">
        <v>6000</v>
      </c>
      <c r="AC34" s="51">
        <v>6000</v>
      </c>
      <c r="AD34" s="51">
        <v>6000</v>
      </c>
      <c r="AE34" s="51">
        <v>6000</v>
      </c>
      <c r="AF34" s="51">
        <v>6000</v>
      </c>
      <c r="AG34" s="51">
        <f t="shared" ref="AG34" si="45">SUM(U34:AF34)</f>
        <v>272000</v>
      </c>
    </row>
    <row r="35" spans="1:43" s="96" customFormat="1" outlineLevel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ref="S35:S64" si="46">SUM(G35:R35)</f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ref="AG35:AG64" si="47">SUM(U35:AF35)</f>
        <v>0</v>
      </c>
    </row>
    <row r="36" spans="1:43" s="96" customFormat="1" outlineLevel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46"/>
        <v>0</v>
      </c>
      <c r="U36" s="51">
        <v>20000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ref="AG36:AG37" si="48">SUM(U36:AF36)</f>
        <v>20000</v>
      </c>
    </row>
    <row r="37" spans="1:43" s="96" customFormat="1" outlineLevel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46"/>
        <v>0</v>
      </c>
      <c r="U37" s="51">
        <f t="array" ref="U37:AF37">30000/12</f>
        <v>2500</v>
      </c>
      <c r="V37" s="51">
        <v>2500</v>
      </c>
      <c r="W37" s="51">
        <v>2500</v>
      </c>
      <c r="X37" s="51">
        <v>2500</v>
      </c>
      <c r="Y37" s="51">
        <v>2500</v>
      </c>
      <c r="Z37" s="51">
        <v>2500</v>
      </c>
      <c r="AA37" s="51">
        <v>2500</v>
      </c>
      <c r="AB37" s="51">
        <v>2500</v>
      </c>
      <c r="AC37" s="51">
        <v>2500</v>
      </c>
      <c r="AD37" s="51">
        <v>2500</v>
      </c>
      <c r="AE37" s="51">
        <v>2500</v>
      </c>
      <c r="AF37" s="51">
        <v>2500</v>
      </c>
      <c r="AG37" s="51">
        <f t="shared" si="48"/>
        <v>30000</v>
      </c>
    </row>
    <row r="38" spans="1:43" s="96" customFormat="1" outlineLevel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46"/>
        <v>0</v>
      </c>
      <c r="U38" s="235">
        <f>VLOOKUP($A$2,investice!$C$51:$AG$65,investice!U$51,FALSE)</f>
        <v>869.66666666666674</v>
      </c>
      <c r="V38" s="235">
        <f>VLOOKUP($A$2,investice!$C$51:$AG$65,investice!V$51,FALSE)</f>
        <v>869.66666666666674</v>
      </c>
      <c r="W38" s="235">
        <f>VLOOKUP($A$2,investice!$C$51:$AG$65,investice!W$51,FALSE)</f>
        <v>869.66666666666674</v>
      </c>
      <c r="X38" s="235">
        <f>VLOOKUP($A$2,investice!$C$51:$AG$65,investice!X$51,FALSE)</f>
        <v>869.66666666666674</v>
      </c>
      <c r="Y38" s="235">
        <f>VLOOKUP($A$2,investice!$C$51:$AG$65,investice!Y$51,FALSE)</f>
        <v>869.66666666666674</v>
      </c>
      <c r="Z38" s="235">
        <f>VLOOKUP($A$2,investice!$C$51:$AG$65,investice!Z$51,FALSE)</f>
        <v>869.66666666666674</v>
      </c>
      <c r="AA38" s="235">
        <f>VLOOKUP($A$2,investice!$C$51:$AG$65,investice!AA$51,FALSE)</f>
        <v>869.66666666666674</v>
      </c>
      <c r="AB38" s="235">
        <f>VLOOKUP($A$2,investice!$C$51:$AG$65,investice!AB$51,FALSE)</f>
        <v>869.66666666666674</v>
      </c>
      <c r="AC38" s="235">
        <f>VLOOKUP($A$2,investice!$C$51:$AG$65,investice!AC$51,FALSE)</f>
        <v>869.66666666666674</v>
      </c>
      <c r="AD38" s="235">
        <f>VLOOKUP($A$2,investice!$C$51:$AG$65,investice!AD$51,FALSE)</f>
        <v>869.66666666666674</v>
      </c>
      <c r="AE38" s="235">
        <f>VLOOKUP($A$2,investice!$C$51:$AG$65,investice!AE$51,FALSE)</f>
        <v>869.66666666666674</v>
      </c>
      <c r="AF38" s="235">
        <f>VLOOKUP($A$2,investice!$C$51:$AG$65,investice!AF$51,FALSE)</f>
        <v>869.66666666666674</v>
      </c>
      <c r="AG38" s="44">
        <f t="shared" si="47"/>
        <v>10436</v>
      </c>
    </row>
    <row r="39" spans="1:43" s="96" customFormat="1">
      <c r="A39" s="57">
        <v>9300</v>
      </c>
      <c r="B39" s="57" t="s">
        <v>14</v>
      </c>
      <c r="C39" s="41">
        <f t="shared" ref="C39:E39" si="49">SUM(C34:C38)</f>
        <v>0</v>
      </c>
      <c r="D39" s="41">
        <f t="shared" si="49"/>
        <v>0</v>
      </c>
      <c r="E39" s="41">
        <f t="shared" si="49"/>
        <v>0</v>
      </c>
      <c r="G39" s="41">
        <f t="shared" ref="G39:R39" si="50">SUM(G34:G38)</f>
        <v>0</v>
      </c>
      <c r="H39" s="41">
        <f t="shared" si="50"/>
        <v>0</v>
      </c>
      <c r="I39" s="41">
        <f t="shared" si="50"/>
        <v>0</v>
      </c>
      <c r="J39" s="41">
        <f t="shared" si="50"/>
        <v>0</v>
      </c>
      <c r="K39" s="41">
        <f t="shared" si="50"/>
        <v>0</v>
      </c>
      <c r="L39" s="41">
        <f t="shared" si="50"/>
        <v>0</v>
      </c>
      <c r="M39" s="41">
        <f t="shared" si="50"/>
        <v>0</v>
      </c>
      <c r="N39" s="41">
        <f t="shared" si="50"/>
        <v>0</v>
      </c>
      <c r="O39" s="41">
        <f t="shared" si="50"/>
        <v>0</v>
      </c>
      <c r="P39" s="41">
        <f t="shared" si="50"/>
        <v>0</v>
      </c>
      <c r="Q39" s="41">
        <f t="shared" si="50"/>
        <v>0</v>
      </c>
      <c r="R39" s="41">
        <f t="shared" si="50"/>
        <v>0</v>
      </c>
      <c r="S39" s="41">
        <f t="shared" si="46"/>
        <v>0</v>
      </c>
      <c r="U39" s="41">
        <f t="shared" ref="U39:AF39" si="51">SUM(U34:U38)</f>
        <v>229369.66666666666</v>
      </c>
      <c r="V39" s="41">
        <f t="shared" si="51"/>
        <v>9369.6666666666661</v>
      </c>
      <c r="W39" s="41">
        <f t="shared" si="51"/>
        <v>9369.6666666666661</v>
      </c>
      <c r="X39" s="41">
        <f t="shared" si="51"/>
        <v>9369.6666666666661</v>
      </c>
      <c r="Y39" s="41">
        <f t="shared" si="51"/>
        <v>9369.6666666666661</v>
      </c>
      <c r="Z39" s="41">
        <f t="shared" si="51"/>
        <v>9369.6666666666661</v>
      </c>
      <c r="AA39" s="41">
        <f t="shared" si="51"/>
        <v>9369.6666666666661</v>
      </c>
      <c r="AB39" s="41">
        <f t="shared" si="51"/>
        <v>9369.6666666666661</v>
      </c>
      <c r="AC39" s="41">
        <f t="shared" si="51"/>
        <v>9369.6666666666661</v>
      </c>
      <c r="AD39" s="41">
        <f t="shared" si="51"/>
        <v>9369.6666666666661</v>
      </c>
      <c r="AE39" s="41">
        <f t="shared" si="51"/>
        <v>9369.6666666666661</v>
      </c>
      <c r="AF39" s="41">
        <f t="shared" si="51"/>
        <v>9369.6666666666661</v>
      </c>
      <c r="AG39" s="41">
        <f t="shared" si="47"/>
        <v>332436.00000000012</v>
      </c>
    </row>
    <row r="40" spans="1:43" s="96" customFormat="1" ht="24" hidden="1" customHeight="1" outlineLevel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46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47"/>
        <v>0</v>
      </c>
    </row>
    <row r="41" spans="1:43" s="96" customFormat="1" hidden="1" outlineLevel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46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47"/>
        <v>0</v>
      </c>
    </row>
    <row r="42" spans="1:43" s="96" customFormat="1" hidden="1" outlineLevel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46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47"/>
        <v>0</v>
      </c>
    </row>
    <row r="43" spans="1:43" s="96" customFormat="1" hidden="1" outlineLevel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46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47"/>
        <v>0</v>
      </c>
    </row>
    <row r="44" spans="1:43" s="96" customFormat="1" hidden="1" outlineLevel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46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47"/>
        <v>0</v>
      </c>
    </row>
    <row r="45" spans="1:43" s="96" customFormat="1" hidden="1" outlineLevel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46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47"/>
        <v>0</v>
      </c>
    </row>
    <row r="46" spans="1:43" s="96" customFormat="1" hidden="1" outlineLevel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46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47"/>
        <v>0</v>
      </c>
    </row>
    <row r="47" spans="1:43" s="96" customFormat="1" hidden="1" outlineLevel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46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47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52">SUM(C40:C47)</f>
        <v>0</v>
      </c>
      <c r="D48" s="41">
        <f t="shared" si="52"/>
        <v>0</v>
      </c>
      <c r="E48" s="41">
        <f t="shared" si="52"/>
        <v>0</v>
      </c>
      <c r="G48" s="41">
        <f t="shared" ref="G48:R48" si="53">SUM(G40:G47)</f>
        <v>0</v>
      </c>
      <c r="H48" s="41">
        <f t="shared" si="53"/>
        <v>0</v>
      </c>
      <c r="I48" s="41">
        <f t="shared" si="53"/>
        <v>0</v>
      </c>
      <c r="J48" s="41">
        <f t="shared" si="53"/>
        <v>0</v>
      </c>
      <c r="K48" s="41">
        <f t="shared" si="53"/>
        <v>0</v>
      </c>
      <c r="L48" s="41">
        <f t="shared" si="53"/>
        <v>0</v>
      </c>
      <c r="M48" s="41">
        <f t="shared" si="53"/>
        <v>0</v>
      </c>
      <c r="N48" s="41">
        <f t="shared" si="53"/>
        <v>0</v>
      </c>
      <c r="O48" s="41">
        <f t="shared" si="53"/>
        <v>0</v>
      </c>
      <c r="P48" s="41">
        <f t="shared" si="53"/>
        <v>0</v>
      </c>
      <c r="Q48" s="41">
        <f t="shared" si="53"/>
        <v>0</v>
      </c>
      <c r="R48" s="41">
        <f t="shared" si="53"/>
        <v>0</v>
      </c>
      <c r="S48" s="41">
        <f t="shared" si="46"/>
        <v>0</v>
      </c>
      <c r="U48" s="41">
        <f t="shared" ref="U48:AF48" si="54">SUM(U40:U47)</f>
        <v>0</v>
      </c>
      <c r="V48" s="41">
        <f t="shared" si="54"/>
        <v>0</v>
      </c>
      <c r="W48" s="41">
        <f t="shared" si="54"/>
        <v>0</v>
      </c>
      <c r="X48" s="41">
        <f t="shared" si="54"/>
        <v>0</v>
      </c>
      <c r="Y48" s="41">
        <f t="shared" si="54"/>
        <v>0</v>
      </c>
      <c r="Z48" s="41">
        <f t="shared" si="54"/>
        <v>0</v>
      </c>
      <c r="AA48" s="41">
        <f t="shared" si="54"/>
        <v>0</v>
      </c>
      <c r="AB48" s="41">
        <f t="shared" si="54"/>
        <v>0</v>
      </c>
      <c r="AC48" s="41">
        <f t="shared" si="54"/>
        <v>0</v>
      </c>
      <c r="AD48" s="41">
        <f t="shared" si="54"/>
        <v>0</v>
      </c>
      <c r="AE48" s="41">
        <f t="shared" si="54"/>
        <v>0</v>
      </c>
      <c r="AF48" s="41">
        <f t="shared" si="54"/>
        <v>0</v>
      </c>
      <c r="AG48" s="41">
        <f t="shared" si="47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46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47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46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47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46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47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46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47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46"/>
        <v>0</v>
      </c>
      <c r="T53" s="239"/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f t="shared" ref="AG53" si="55">SUM(U53:AF53)</f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46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36000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47"/>
        <v>36000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46"/>
        <v>0</v>
      </c>
      <c r="U55" s="51">
        <v>5000</v>
      </c>
      <c r="V55" s="51">
        <v>5000</v>
      </c>
      <c r="W55" s="51">
        <v>5000</v>
      </c>
      <c r="X55" s="51">
        <v>5000</v>
      </c>
      <c r="Y55" s="51">
        <v>5000</v>
      </c>
      <c r="Z55" s="51">
        <v>5000</v>
      </c>
      <c r="AA55" s="51">
        <v>5000</v>
      </c>
      <c r="AB55" s="51">
        <v>5000</v>
      </c>
      <c r="AC55" s="51">
        <v>5000</v>
      </c>
      <c r="AD55" s="51">
        <v>5000</v>
      </c>
      <c r="AE55" s="51">
        <v>5000</v>
      </c>
      <c r="AF55" s="51">
        <v>5000</v>
      </c>
      <c r="AG55" s="51">
        <f t="shared" si="47"/>
        <v>60000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46"/>
        <v>0</v>
      </c>
      <c r="U56" s="234">
        <f>VLOOKUP($A$2,auta!$F$12:$EM$34,auta!EA$11,FALSE)</f>
        <v>11523.454545454544</v>
      </c>
      <c r="V56" s="234">
        <f>VLOOKUP($A$2,auta!$F$12:$EM$34,auta!EB$11,FALSE)</f>
        <v>8523.4545454545441</v>
      </c>
      <c r="W56" s="234">
        <f>VLOOKUP($A$2,auta!$F$12:$EM$34,auta!EC$11,FALSE)</f>
        <v>8523.4545454545441</v>
      </c>
      <c r="X56" s="234">
        <f>VLOOKUP($A$2,auta!$F$12:$EM$34,auta!ED$11,FALSE)</f>
        <v>8523.4545454545441</v>
      </c>
      <c r="Y56" s="234">
        <f>VLOOKUP($A$2,auta!$F$12:$EM$34,auta!EE$11,FALSE)</f>
        <v>8523.4545454545441</v>
      </c>
      <c r="Z56" s="234">
        <f>VLOOKUP($A$2,auta!$F$12:$EM$34,auta!EF$11,FALSE)</f>
        <v>8523.4545454545441</v>
      </c>
      <c r="AA56" s="234">
        <f>VLOOKUP($A$2,auta!$F$12:$EM$34,auta!EG$11,FALSE)</f>
        <v>8523.4545454545441</v>
      </c>
      <c r="AB56" s="234">
        <f>VLOOKUP($A$2,auta!$F$12:$EM$34,auta!EH$11,FALSE)</f>
        <v>8523.4545454545441</v>
      </c>
      <c r="AC56" s="234">
        <f>VLOOKUP($A$2,auta!$F$12:$EM$34,auta!EI$11,FALSE)</f>
        <v>8523.4545454545441</v>
      </c>
      <c r="AD56" s="234">
        <f>VLOOKUP($A$2,auta!$F$12:$EM$34,auta!EJ$11,FALSE)</f>
        <v>8523.4545454545441</v>
      </c>
      <c r="AE56" s="234">
        <f>VLOOKUP($A$2,auta!$F$12:$EM$34,auta!EK$11,FALSE)</f>
        <v>8523.4545454545441</v>
      </c>
      <c r="AF56" s="234">
        <f>VLOOKUP($A$2,auta!$F$12:$EM$34,auta!EL$11,FALSE)</f>
        <v>8523.4545454545441</v>
      </c>
      <c r="AG56" s="51">
        <f t="shared" si="47"/>
        <v>105281.45454545453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46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47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46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56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46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47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46"/>
        <v>0</v>
      </c>
      <c r="U60" s="235">
        <f>VLOOKUP($A$2,osobni!$F$31:$EQ$44,osobni!DC$3,FALSE)</f>
        <v>4000.0000000000005</v>
      </c>
      <c r="V60" s="235">
        <f>VLOOKUP($A$2,osobni!$F$31:$EQ$44,osobni!DD$3,FALSE)</f>
        <v>4000.0000000000005</v>
      </c>
      <c r="W60" s="235">
        <f>VLOOKUP($A$2,osobni!$F$31:$EQ$44,osobni!DE$3,FALSE)</f>
        <v>4000.0000000000005</v>
      </c>
      <c r="X60" s="235">
        <f>VLOOKUP($A$2,osobni!$F$31:$EQ$44,osobni!DF$3,FALSE)</f>
        <v>4000.0000000000005</v>
      </c>
      <c r="Y60" s="235">
        <f>VLOOKUP($A$2,osobni!$F$31:$EQ$44,osobni!DG$3,FALSE)</f>
        <v>4000.0000000000005</v>
      </c>
      <c r="Z60" s="235">
        <f>VLOOKUP($A$2,osobni!$F$31:$EQ$44,osobni!DH$3,FALSE)</f>
        <v>4000.0000000000005</v>
      </c>
      <c r="AA60" s="235">
        <f>VLOOKUP($A$2,osobni!$F$31:$EQ$44,osobni!DI$3,FALSE)</f>
        <v>4000.0000000000005</v>
      </c>
      <c r="AB60" s="235">
        <f>VLOOKUP($A$2,osobni!$F$31:$EQ$44,osobni!DJ$3,FALSE)</f>
        <v>4000.0000000000005</v>
      </c>
      <c r="AC60" s="235">
        <f>VLOOKUP($A$2,osobni!$F$31:$EQ$44,osobni!DK$3,FALSE)</f>
        <v>4000.0000000000005</v>
      </c>
      <c r="AD60" s="235">
        <f>VLOOKUP($A$2,osobni!$F$31:$EQ$44,osobni!DL$3,FALSE)</f>
        <v>4000.0000000000005</v>
      </c>
      <c r="AE60" s="235">
        <f>VLOOKUP($A$2,osobni!$F$31:$EQ$44,osobni!DM$3,FALSE)</f>
        <v>4000.0000000000005</v>
      </c>
      <c r="AF60" s="235">
        <f>VLOOKUP($A$2,osobni!$F$31:$EQ$44,osobni!DN$3,FALSE)</f>
        <v>4000.0000000000005</v>
      </c>
      <c r="AG60" s="44">
        <f t="shared" si="47"/>
        <v>48000.000000000007</v>
      </c>
    </row>
    <row r="61" spans="1:33" s="96" customFormat="1">
      <c r="A61" s="57">
        <v>9500</v>
      </c>
      <c r="B61" s="57" t="s">
        <v>121</v>
      </c>
      <c r="C61" s="41">
        <f t="shared" ref="C61:E61" si="57">SUM(C49:C60)</f>
        <v>0</v>
      </c>
      <c r="D61" s="41">
        <f t="shared" si="57"/>
        <v>0</v>
      </c>
      <c r="E61" s="41">
        <f t="shared" si="57"/>
        <v>0</v>
      </c>
      <c r="G61" s="41">
        <f t="shared" ref="G61:R61" si="58">SUM(G49:G60)</f>
        <v>0</v>
      </c>
      <c r="H61" s="41">
        <f t="shared" si="58"/>
        <v>0</v>
      </c>
      <c r="I61" s="41">
        <f t="shared" si="58"/>
        <v>0</v>
      </c>
      <c r="J61" s="41">
        <f t="shared" si="58"/>
        <v>0</v>
      </c>
      <c r="K61" s="41">
        <f t="shared" si="58"/>
        <v>0</v>
      </c>
      <c r="L61" s="41">
        <f t="shared" si="58"/>
        <v>0</v>
      </c>
      <c r="M61" s="41">
        <f t="shared" si="58"/>
        <v>0</v>
      </c>
      <c r="N61" s="41">
        <f t="shared" si="58"/>
        <v>0</v>
      </c>
      <c r="O61" s="41">
        <f t="shared" si="58"/>
        <v>0</v>
      </c>
      <c r="P61" s="41">
        <f t="shared" si="58"/>
        <v>0</v>
      </c>
      <c r="Q61" s="41">
        <f t="shared" si="58"/>
        <v>0</v>
      </c>
      <c r="R61" s="41">
        <f t="shared" si="58"/>
        <v>0</v>
      </c>
      <c r="S61" s="41">
        <f t="shared" si="46"/>
        <v>0</v>
      </c>
      <c r="U61" s="41">
        <f t="shared" ref="U61:AF61" si="59">SUM(U49:U60)</f>
        <v>20523.454545454544</v>
      </c>
      <c r="V61" s="41">
        <f t="shared" si="59"/>
        <v>17523.454545454544</v>
      </c>
      <c r="W61" s="41">
        <f t="shared" si="59"/>
        <v>53523.454545454544</v>
      </c>
      <c r="X61" s="41">
        <f t="shared" si="59"/>
        <v>17523.454545454544</v>
      </c>
      <c r="Y61" s="41">
        <f t="shared" si="59"/>
        <v>17523.454545454544</v>
      </c>
      <c r="Z61" s="41">
        <f t="shared" si="59"/>
        <v>17523.454545454544</v>
      </c>
      <c r="AA61" s="41">
        <f t="shared" si="59"/>
        <v>17523.454545454544</v>
      </c>
      <c r="AB61" s="41">
        <f t="shared" si="59"/>
        <v>17523.454545454544</v>
      </c>
      <c r="AC61" s="41">
        <f t="shared" si="59"/>
        <v>17523.454545454544</v>
      </c>
      <c r="AD61" s="41">
        <f t="shared" si="59"/>
        <v>17523.454545454544</v>
      </c>
      <c r="AE61" s="41">
        <f t="shared" si="59"/>
        <v>17523.454545454544</v>
      </c>
      <c r="AF61" s="41">
        <f t="shared" si="59"/>
        <v>17523.454545454544</v>
      </c>
      <c r="AG61" s="41">
        <f t="shared" si="47"/>
        <v>249281.45454545447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46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47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46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47"/>
        <v>0</v>
      </c>
    </row>
    <row r="64" spans="1:33" s="96" customFormat="1">
      <c r="A64" s="59">
        <v>9600</v>
      </c>
      <c r="B64" s="62" t="s">
        <v>122</v>
      </c>
      <c r="C64" s="63">
        <f t="shared" ref="C64:E64" si="60">C27-C48-C39-C61+C63-C62</f>
        <v>0</v>
      </c>
      <c r="D64" s="63">
        <f t="shared" si="60"/>
        <v>0</v>
      </c>
      <c r="E64" s="63">
        <f t="shared" si="60"/>
        <v>833000</v>
      </c>
      <c r="G64" s="63">
        <f t="shared" ref="G64:R64" si="61">G27-G48-G39-G61+G63-G62</f>
        <v>933000.0007995792</v>
      </c>
      <c r="H64" s="63">
        <f t="shared" si="61"/>
        <v>961472.71515624586</v>
      </c>
      <c r="I64" s="63">
        <f t="shared" si="61"/>
        <v>1217612.7630203082</v>
      </c>
      <c r="J64" s="63">
        <f t="shared" si="61"/>
        <v>987828.63460080989</v>
      </c>
      <c r="K64" s="63">
        <f t="shared" si="61"/>
        <v>1007461.1562371356</v>
      </c>
      <c r="L64" s="63">
        <f t="shared" si="61"/>
        <v>1146564.6166397308</v>
      </c>
      <c r="M64" s="63">
        <f t="shared" si="61"/>
        <v>993042.31706063938</v>
      </c>
      <c r="N64" s="63">
        <f t="shared" si="61"/>
        <v>1358448.6929280874</v>
      </c>
      <c r="O64" s="63">
        <f t="shared" si="61"/>
        <v>1365922.2267579641</v>
      </c>
      <c r="P64" s="63">
        <f t="shared" si="61"/>
        <v>1186876.8479171614</v>
      </c>
      <c r="Q64" s="63">
        <f t="shared" si="61"/>
        <v>1093163.5395076142</v>
      </c>
      <c r="R64" s="63">
        <f t="shared" si="61"/>
        <v>1043648.8914442884</v>
      </c>
      <c r="S64" s="63">
        <f t="shared" si="46"/>
        <v>13295042.402069565</v>
      </c>
      <c r="U64" s="63">
        <f t="shared" ref="U64:AF64" si="62">U27-U48-U39-U61+U63-U62</f>
        <v>-897321.92121212115</v>
      </c>
      <c r="V64" s="63">
        <f t="shared" si="62"/>
        <v>-494931.52028047811</v>
      </c>
      <c r="W64" s="63">
        <f t="shared" si="62"/>
        <v>1063938.9134769945</v>
      </c>
      <c r="X64" s="63">
        <f t="shared" si="62"/>
        <v>-315302.50156367215</v>
      </c>
      <c r="Y64" s="63">
        <f t="shared" si="62"/>
        <v>-183794.66504430986</v>
      </c>
      <c r="Z64" s="63">
        <f t="shared" si="62"/>
        <v>706019.36049541621</v>
      </c>
      <c r="AA64" s="63">
        <f t="shared" si="62"/>
        <v>-276308.13337778061</v>
      </c>
      <c r="AB64" s="63">
        <f t="shared" si="62"/>
        <v>2035212.5006342437</v>
      </c>
      <c r="AC64" s="63">
        <f t="shared" si="62"/>
        <v>2098648.5679223081</v>
      </c>
      <c r="AD64" s="63">
        <f t="shared" si="62"/>
        <v>1010714.5611424717</v>
      </c>
      <c r="AE64" s="63">
        <f t="shared" si="62"/>
        <v>343360.87342633889</v>
      </c>
      <c r="AF64" s="63">
        <f t="shared" si="62"/>
        <v>23140.909835134873</v>
      </c>
      <c r="AG64" s="63">
        <f t="shared" si="47"/>
        <v>5113376.9454545453</v>
      </c>
    </row>
    <row r="65" spans="1:33" s="102" customFormat="1">
      <c r="A65" s="64">
        <v>9690</v>
      </c>
      <c r="B65" s="65" t="s">
        <v>123</v>
      </c>
      <c r="C65" s="66" t="e">
        <f t="shared" ref="C65:E65" si="63">C64/C10</f>
        <v>#DIV/0!</v>
      </c>
      <c r="D65" s="66" t="e">
        <f t="shared" si="63"/>
        <v>#DIV/0!</v>
      </c>
      <c r="E65" s="66">
        <f t="shared" si="63"/>
        <v>1</v>
      </c>
      <c r="G65" s="66">
        <f t="shared" ref="G65:S65" si="64">G64/G10</f>
        <v>1</v>
      </c>
      <c r="H65" s="66">
        <f t="shared" si="64"/>
        <v>1</v>
      </c>
      <c r="I65" s="66">
        <f t="shared" si="64"/>
        <v>1</v>
      </c>
      <c r="J65" s="66">
        <f t="shared" si="64"/>
        <v>1</v>
      </c>
      <c r="K65" s="66">
        <f t="shared" si="64"/>
        <v>1</v>
      </c>
      <c r="L65" s="66">
        <f t="shared" si="64"/>
        <v>1</v>
      </c>
      <c r="M65" s="66">
        <f t="shared" si="64"/>
        <v>1</v>
      </c>
      <c r="N65" s="66">
        <f t="shared" si="64"/>
        <v>1</v>
      </c>
      <c r="O65" s="66">
        <f t="shared" si="64"/>
        <v>1</v>
      </c>
      <c r="P65" s="66">
        <f t="shared" si="64"/>
        <v>1</v>
      </c>
      <c r="Q65" s="66">
        <f t="shared" si="64"/>
        <v>1</v>
      </c>
      <c r="R65" s="66">
        <f t="shared" si="64"/>
        <v>1</v>
      </c>
      <c r="S65" s="66">
        <f t="shared" si="64"/>
        <v>1</v>
      </c>
      <c r="U65" s="66" t="e">
        <f t="shared" ref="U65:AG65" si="65">U64/U10</f>
        <v>#DIV/0!</v>
      </c>
      <c r="V65" s="66">
        <f t="shared" si="65"/>
        <v>-2.7099294983825466</v>
      </c>
      <c r="W65" s="66">
        <f t="shared" si="65"/>
        <v>0.58487818699177541</v>
      </c>
      <c r="X65" s="66">
        <f t="shared" si="65"/>
        <v>-0.85943650489205747</v>
      </c>
      <c r="Y65" s="66">
        <f t="shared" si="65"/>
        <v>-0.36581297517222622</v>
      </c>
      <c r="Z65" s="66">
        <f t="shared" si="65"/>
        <v>0.49893325770940633</v>
      </c>
      <c r="AA65" s="66">
        <f t="shared" si="65"/>
        <v>-0.67911431513477039</v>
      </c>
      <c r="AB65" s="66">
        <f t="shared" si="65"/>
        <v>0.73217337181534314</v>
      </c>
      <c r="AC65" s="66">
        <f t="shared" si="65"/>
        <v>0.73842994472471601</v>
      </c>
      <c r="AD65" s="66">
        <f t="shared" si="65"/>
        <v>0.58459319778459229</v>
      </c>
      <c r="AE65" s="66">
        <f t="shared" si="65"/>
        <v>0.32895992086572767</v>
      </c>
      <c r="AF65" s="66">
        <f t="shared" si="65"/>
        <v>3.2472144093552389E-2</v>
      </c>
      <c r="AG65" s="66">
        <f t="shared" si="65"/>
        <v>0.37053456126482209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66">C64-C66+C67</f>
        <v>0</v>
      </c>
      <c r="D68" s="72">
        <f t="shared" si="66"/>
        <v>0</v>
      </c>
      <c r="E68" s="72">
        <f t="shared" si="66"/>
        <v>833000</v>
      </c>
      <c r="G68" s="72">
        <f t="shared" ref="G68:R68" si="67">G64-G66+G67</f>
        <v>933000.0007995792</v>
      </c>
      <c r="H68" s="72">
        <f t="shared" si="67"/>
        <v>961472.71515624586</v>
      </c>
      <c r="I68" s="72">
        <f t="shared" si="67"/>
        <v>1217612.7630203082</v>
      </c>
      <c r="J68" s="72">
        <f t="shared" si="67"/>
        <v>987828.63460080989</v>
      </c>
      <c r="K68" s="72">
        <f t="shared" si="67"/>
        <v>1007461.1562371356</v>
      </c>
      <c r="L68" s="72">
        <f t="shared" si="67"/>
        <v>1146564.6166397308</v>
      </c>
      <c r="M68" s="72">
        <f t="shared" si="67"/>
        <v>993042.31706063938</v>
      </c>
      <c r="N68" s="72">
        <f t="shared" si="67"/>
        <v>1358448.6929280874</v>
      </c>
      <c r="O68" s="72">
        <f t="shared" si="67"/>
        <v>1365922.2267579641</v>
      </c>
      <c r="P68" s="72">
        <f t="shared" si="67"/>
        <v>1186876.8479171614</v>
      </c>
      <c r="Q68" s="72">
        <f t="shared" si="67"/>
        <v>1093163.5395076142</v>
      </c>
      <c r="R68" s="72">
        <f t="shared" si="67"/>
        <v>1043648.8914442884</v>
      </c>
      <c r="S68" s="72">
        <f>SUM(G68:R68)</f>
        <v>13295042.402069565</v>
      </c>
      <c r="T68" s="96"/>
      <c r="U68" s="72">
        <f t="shared" ref="U68:AF68" si="68">U64-U66+U67</f>
        <v>-897321.92121212115</v>
      </c>
      <c r="V68" s="72">
        <f t="shared" si="68"/>
        <v>-494931.52028047811</v>
      </c>
      <c r="W68" s="72">
        <f t="shared" si="68"/>
        <v>1063938.9134769945</v>
      </c>
      <c r="X68" s="72">
        <f t="shared" si="68"/>
        <v>-315302.50156367215</v>
      </c>
      <c r="Y68" s="72">
        <f t="shared" si="68"/>
        <v>-183794.66504430986</v>
      </c>
      <c r="Z68" s="72">
        <f t="shared" si="68"/>
        <v>706019.36049541621</v>
      </c>
      <c r="AA68" s="72">
        <f t="shared" si="68"/>
        <v>-276308.13337778061</v>
      </c>
      <c r="AB68" s="72">
        <f t="shared" si="68"/>
        <v>2035212.5006342437</v>
      </c>
      <c r="AC68" s="72">
        <f t="shared" si="68"/>
        <v>2098648.5679223081</v>
      </c>
      <c r="AD68" s="72">
        <f t="shared" si="68"/>
        <v>1010714.5611424717</v>
      </c>
      <c r="AE68" s="72">
        <f t="shared" si="68"/>
        <v>343360.87342633889</v>
      </c>
      <c r="AF68" s="72">
        <f t="shared" si="68"/>
        <v>23140.909835134873</v>
      </c>
      <c r="AG68" s="72">
        <f>SUM(U68:AF68)</f>
        <v>5113376.9454545453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69">C68-C69</f>
        <v>0</v>
      </c>
      <c r="D70" s="78">
        <f t="shared" si="69"/>
        <v>0</v>
      </c>
      <c r="E70" s="78">
        <f t="shared" si="69"/>
        <v>833000</v>
      </c>
      <c r="G70" s="78">
        <f t="shared" ref="G70:R70" si="70">G68-G69</f>
        <v>933000.0007995792</v>
      </c>
      <c r="H70" s="78">
        <f t="shared" si="70"/>
        <v>961472.71515624586</v>
      </c>
      <c r="I70" s="78">
        <f t="shared" si="70"/>
        <v>1217612.7630203082</v>
      </c>
      <c r="J70" s="78">
        <f t="shared" si="70"/>
        <v>987828.63460080989</v>
      </c>
      <c r="K70" s="78">
        <f t="shared" si="70"/>
        <v>1007461.1562371356</v>
      </c>
      <c r="L70" s="78">
        <f t="shared" si="70"/>
        <v>1146564.6166397308</v>
      </c>
      <c r="M70" s="78">
        <f t="shared" si="70"/>
        <v>993042.31706063938</v>
      </c>
      <c r="N70" s="78">
        <f t="shared" si="70"/>
        <v>1358448.6929280874</v>
      </c>
      <c r="O70" s="78">
        <f t="shared" si="70"/>
        <v>1365922.2267579641</v>
      </c>
      <c r="P70" s="78">
        <f t="shared" si="70"/>
        <v>1186876.8479171614</v>
      </c>
      <c r="Q70" s="78">
        <f t="shared" si="70"/>
        <v>1093163.5395076142</v>
      </c>
      <c r="R70" s="78">
        <f t="shared" si="70"/>
        <v>1043648.8914442884</v>
      </c>
      <c r="S70" s="78">
        <f>SUM(G70:R70)</f>
        <v>13295042.402069565</v>
      </c>
      <c r="T70" s="96"/>
      <c r="U70" s="78">
        <f t="shared" ref="U70:AF70" si="71">U68-U69</f>
        <v>-897321.92121212115</v>
      </c>
      <c r="V70" s="78">
        <f t="shared" si="71"/>
        <v>-494931.52028047811</v>
      </c>
      <c r="W70" s="78">
        <f t="shared" si="71"/>
        <v>1063938.9134769945</v>
      </c>
      <c r="X70" s="78">
        <f t="shared" si="71"/>
        <v>-315302.50156367215</v>
      </c>
      <c r="Y70" s="78">
        <f t="shared" si="71"/>
        <v>-183794.66504430986</v>
      </c>
      <c r="Z70" s="78">
        <f t="shared" si="71"/>
        <v>706019.36049541621</v>
      </c>
      <c r="AA70" s="78">
        <f t="shared" si="71"/>
        <v>-276308.13337778061</v>
      </c>
      <c r="AB70" s="78">
        <f t="shared" si="71"/>
        <v>2035212.5006342437</v>
      </c>
      <c r="AC70" s="78">
        <f t="shared" si="71"/>
        <v>2098648.5679223081</v>
      </c>
      <c r="AD70" s="78">
        <f t="shared" si="71"/>
        <v>1010714.5611424717</v>
      </c>
      <c r="AE70" s="78">
        <f t="shared" si="71"/>
        <v>343360.87342633889</v>
      </c>
      <c r="AF70" s="78">
        <f t="shared" si="71"/>
        <v>23140.909835134873</v>
      </c>
      <c r="AG70" s="78">
        <f>SUM(U70:AF70)</f>
        <v>5113376.9454545453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72">C70/C10</f>
        <v>#DIV/0!</v>
      </c>
      <c r="D71" s="80" t="e">
        <f t="shared" si="72"/>
        <v>#DIV/0!</v>
      </c>
      <c r="E71" s="80">
        <f t="shared" si="72"/>
        <v>1</v>
      </c>
      <c r="G71" s="80">
        <f t="shared" ref="G71:S71" si="73">G70/G10</f>
        <v>1</v>
      </c>
      <c r="H71" s="80">
        <f t="shared" si="73"/>
        <v>1</v>
      </c>
      <c r="I71" s="80">
        <f t="shared" si="73"/>
        <v>1</v>
      </c>
      <c r="J71" s="80">
        <f t="shared" si="73"/>
        <v>1</v>
      </c>
      <c r="K71" s="80">
        <f t="shared" si="73"/>
        <v>1</v>
      </c>
      <c r="L71" s="80">
        <f t="shared" si="73"/>
        <v>1</v>
      </c>
      <c r="M71" s="80">
        <f t="shared" si="73"/>
        <v>1</v>
      </c>
      <c r="N71" s="80">
        <f t="shared" si="73"/>
        <v>1</v>
      </c>
      <c r="O71" s="80">
        <f t="shared" si="73"/>
        <v>1</v>
      </c>
      <c r="P71" s="80">
        <f t="shared" si="73"/>
        <v>1</v>
      </c>
      <c r="Q71" s="80">
        <f t="shared" si="73"/>
        <v>1</v>
      </c>
      <c r="R71" s="80">
        <f t="shared" si="73"/>
        <v>1</v>
      </c>
      <c r="S71" s="80">
        <f t="shared" si="73"/>
        <v>1</v>
      </c>
      <c r="U71" s="80" t="e">
        <f t="shared" ref="U71:AG71" si="74">U70/U10</f>
        <v>#DIV/0!</v>
      </c>
      <c r="V71" s="80">
        <f t="shared" si="74"/>
        <v>-2.7099294983825466</v>
      </c>
      <c r="W71" s="80">
        <f t="shared" si="74"/>
        <v>0.58487818699177541</v>
      </c>
      <c r="X71" s="80">
        <f t="shared" si="74"/>
        <v>-0.85943650489205747</v>
      </c>
      <c r="Y71" s="80">
        <f t="shared" si="74"/>
        <v>-0.36581297517222622</v>
      </c>
      <c r="Z71" s="80">
        <f t="shared" si="74"/>
        <v>0.49893325770940633</v>
      </c>
      <c r="AA71" s="80">
        <f t="shared" si="74"/>
        <v>-0.67911431513477039</v>
      </c>
      <c r="AB71" s="80">
        <f t="shared" si="74"/>
        <v>0.73217337181534314</v>
      </c>
      <c r="AC71" s="80">
        <f t="shared" si="74"/>
        <v>0.73842994472471601</v>
      </c>
      <c r="AD71" s="80">
        <f t="shared" si="74"/>
        <v>0.58459319778459229</v>
      </c>
      <c r="AE71" s="80">
        <f t="shared" si="74"/>
        <v>0.32895992086572767</v>
      </c>
      <c r="AF71" s="80">
        <f t="shared" si="74"/>
        <v>3.2472144093552389E-2</v>
      </c>
      <c r="AG71" s="80">
        <f t="shared" si="74"/>
        <v>0.37053456126482209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75">C64+C73</f>
        <v>0</v>
      </c>
      <c r="D74" s="84">
        <f t="shared" si="75"/>
        <v>0</v>
      </c>
      <c r="E74" s="84">
        <f t="shared" si="75"/>
        <v>833000</v>
      </c>
      <c r="G74" s="84">
        <f t="shared" ref="G74:R74" si="76">G64+G73</f>
        <v>933000.0007995792</v>
      </c>
      <c r="H74" s="84">
        <f t="shared" si="76"/>
        <v>961472.71515624586</v>
      </c>
      <c r="I74" s="84">
        <f t="shared" si="76"/>
        <v>1217612.7630203082</v>
      </c>
      <c r="J74" s="84">
        <f t="shared" si="76"/>
        <v>987828.63460080989</v>
      </c>
      <c r="K74" s="84">
        <f t="shared" si="76"/>
        <v>1007461.1562371356</v>
      </c>
      <c r="L74" s="84">
        <f t="shared" si="76"/>
        <v>1146564.6166397308</v>
      </c>
      <c r="M74" s="84">
        <f t="shared" si="76"/>
        <v>993042.31706063938</v>
      </c>
      <c r="N74" s="84">
        <f t="shared" si="76"/>
        <v>1358448.6929280874</v>
      </c>
      <c r="O74" s="84">
        <f t="shared" si="76"/>
        <v>1365922.2267579641</v>
      </c>
      <c r="P74" s="84">
        <f t="shared" si="76"/>
        <v>1186876.8479171614</v>
      </c>
      <c r="Q74" s="84">
        <f t="shared" si="76"/>
        <v>1093163.5395076142</v>
      </c>
      <c r="R74" s="84">
        <f t="shared" si="76"/>
        <v>1043648.8914442884</v>
      </c>
      <c r="S74" s="84">
        <f>SUM(G74:R74)</f>
        <v>13295042.402069565</v>
      </c>
      <c r="U74" s="84">
        <f t="shared" ref="U74:AF74" si="77">U64+U73</f>
        <v>-897321.92121212115</v>
      </c>
      <c r="V74" s="84">
        <f t="shared" si="77"/>
        <v>-494931.52028047811</v>
      </c>
      <c r="W74" s="84">
        <f t="shared" si="77"/>
        <v>1063938.9134769945</v>
      </c>
      <c r="X74" s="84">
        <f t="shared" si="77"/>
        <v>-315302.50156367215</v>
      </c>
      <c r="Y74" s="84">
        <f t="shared" si="77"/>
        <v>-183794.66504430986</v>
      </c>
      <c r="Z74" s="84">
        <f t="shared" si="77"/>
        <v>706019.36049541621</v>
      </c>
      <c r="AA74" s="84">
        <f t="shared" si="77"/>
        <v>-276308.13337778061</v>
      </c>
      <c r="AB74" s="84">
        <f t="shared" si="77"/>
        <v>2035212.5006342437</v>
      </c>
      <c r="AC74" s="84">
        <f t="shared" si="77"/>
        <v>2098648.5679223081</v>
      </c>
      <c r="AD74" s="84">
        <f t="shared" si="77"/>
        <v>1010714.5611424717</v>
      </c>
      <c r="AE74" s="84">
        <f t="shared" si="77"/>
        <v>343360.87342633889</v>
      </c>
      <c r="AF74" s="84">
        <f t="shared" si="77"/>
        <v>23140.909835134873</v>
      </c>
      <c r="AG74" s="84">
        <f>SUM(U74:AF74)</f>
        <v>5113376.9454545453</v>
      </c>
    </row>
    <row r="75" spans="1:33" s="110" customFormat="1">
      <c r="A75" s="85">
        <v>9790</v>
      </c>
      <c r="B75" s="86" t="s">
        <v>129</v>
      </c>
      <c r="C75" s="56" t="e">
        <f t="shared" ref="C75:E75" si="78">C74/C10</f>
        <v>#DIV/0!</v>
      </c>
      <c r="D75" s="56" t="e">
        <f t="shared" si="78"/>
        <v>#DIV/0!</v>
      </c>
      <c r="E75" s="56">
        <f t="shared" si="78"/>
        <v>1</v>
      </c>
      <c r="G75" s="56">
        <f t="shared" ref="G75:S75" si="79">G74/G10</f>
        <v>1</v>
      </c>
      <c r="H75" s="56">
        <f t="shared" si="79"/>
        <v>1</v>
      </c>
      <c r="I75" s="56">
        <f t="shared" si="79"/>
        <v>1</v>
      </c>
      <c r="J75" s="56">
        <f t="shared" si="79"/>
        <v>1</v>
      </c>
      <c r="K75" s="56">
        <f t="shared" si="79"/>
        <v>1</v>
      </c>
      <c r="L75" s="56">
        <f t="shared" si="79"/>
        <v>1</v>
      </c>
      <c r="M75" s="56">
        <f t="shared" si="79"/>
        <v>1</v>
      </c>
      <c r="N75" s="56">
        <f t="shared" si="79"/>
        <v>1</v>
      </c>
      <c r="O75" s="56">
        <f t="shared" si="79"/>
        <v>1</v>
      </c>
      <c r="P75" s="56">
        <f t="shared" si="79"/>
        <v>1</v>
      </c>
      <c r="Q75" s="56">
        <f t="shared" si="79"/>
        <v>1</v>
      </c>
      <c r="R75" s="56">
        <f t="shared" si="79"/>
        <v>1</v>
      </c>
      <c r="S75" s="56">
        <f t="shared" si="79"/>
        <v>1</v>
      </c>
      <c r="T75" s="109"/>
      <c r="U75" s="56" t="e">
        <f t="shared" ref="U75:AG75" si="80">U74/U10</f>
        <v>#DIV/0!</v>
      </c>
      <c r="V75" s="56">
        <f t="shared" si="80"/>
        <v>-2.7099294983825466</v>
      </c>
      <c r="W75" s="56">
        <f t="shared" si="80"/>
        <v>0.58487818699177541</v>
      </c>
      <c r="X75" s="56">
        <f t="shared" si="80"/>
        <v>-0.85943650489205747</v>
      </c>
      <c r="Y75" s="56">
        <f t="shared" si="80"/>
        <v>-0.36581297517222622</v>
      </c>
      <c r="Z75" s="56">
        <f t="shared" si="80"/>
        <v>0.49893325770940633</v>
      </c>
      <c r="AA75" s="56">
        <f t="shared" si="80"/>
        <v>-0.67911431513477039</v>
      </c>
      <c r="AB75" s="56">
        <f t="shared" si="80"/>
        <v>0.73217337181534314</v>
      </c>
      <c r="AC75" s="56">
        <f t="shared" si="80"/>
        <v>0.73842994472471601</v>
      </c>
      <c r="AD75" s="56">
        <f t="shared" si="80"/>
        <v>0.58459319778459229</v>
      </c>
      <c r="AE75" s="56">
        <f t="shared" si="80"/>
        <v>0.32895992086572767</v>
      </c>
      <c r="AF75" s="56">
        <f t="shared" si="80"/>
        <v>3.2472144093552389E-2</v>
      </c>
      <c r="AG75" s="56">
        <f t="shared" si="80"/>
        <v>0.37053456126482209</v>
      </c>
    </row>
    <row r="76" spans="1:33">
      <c r="C76" s="111">
        <v>0.19659571563606479</v>
      </c>
      <c r="D76" s="111">
        <v>0.2027954116801734</v>
      </c>
      <c r="E76" s="111">
        <v>0.20809003662382283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Q76"/>
  <sheetViews>
    <sheetView showGridLines="0" zoomScale="120" zoomScaleNormal="120" zoomScalePageLayoutView="120" workbookViewId="0">
      <pane xSplit="2" ySplit="4" topLeftCell="X6" activePane="bottomRight" state="frozen"/>
      <selection activeCell="W50" sqref="W50"/>
      <selection pane="topRight" activeCell="W50" sqref="W50"/>
      <selection pane="bottomLeft" activeCell="W50" sqref="W50"/>
      <selection pane="bottomRight" activeCell="B17" sqref="B17"/>
    </sheetView>
  </sheetViews>
  <sheetFormatPr defaultColWidth="10.85546875" defaultRowHeight="15" outlineLevelRow="1" outlineLevelCol="1"/>
  <cols>
    <col min="1" max="1" width="7.42578125" style="45" customWidth="1" outlineLevel="1"/>
    <col min="2" max="2" width="36.7109375" style="45" bestFit="1" customWidth="1"/>
    <col min="3" max="5" width="15.28515625" style="45" hidden="1" customWidth="1" outlineLevel="1"/>
    <col min="6" max="6" width="1.42578125" customWidth="1" collapsed="1"/>
    <col min="7" max="12" width="15.140625" style="45" hidden="1" customWidth="1" outlineLevel="1"/>
    <col min="13" max="18" width="13.28515625" style="45" hidden="1" customWidth="1" outlineLevel="1"/>
    <col min="19" max="19" width="17.85546875" style="45" customWidth="1" collapsed="1"/>
    <col min="20" max="20" width="6.85546875" style="45" customWidth="1"/>
    <col min="21" max="32" width="13.28515625" style="45" customWidth="1" outlineLevel="1"/>
    <col min="33" max="33" width="16" style="45" customWidth="1"/>
    <col min="34" max="16384" width="10.85546875" style="45"/>
  </cols>
  <sheetData>
    <row r="1" spans="1:34" s="88" customFormat="1">
      <c r="A1" s="36"/>
      <c r="B1" s="37" t="s">
        <v>77</v>
      </c>
    </row>
    <row r="2" spans="1:34" s="90" customFormat="1">
      <c r="A2" s="231">
        <v>8300</v>
      </c>
      <c r="B2" s="232" t="s">
        <v>73</v>
      </c>
      <c r="C2" s="114">
        <v>41974</v>
      </c>
      <c r="D2" s="114">
        <v>42339</v>
      </c>
      <c r="E2" s="114">
        <v>42705</v>
      </c>
      <c r="G2" s="114">
        <v>42736</v>
      </c>
      <c r="H2" s="114">
        <v>42767</v>
      </c>
      <c r="I2" s="114">
        <v>42795</v>
      </c>
      <c r="J2" s="114">
        <v>42826</v>
      </c>
      <c r="K2" s="114">
        <v>42856</v>
      </c>
      <c r="L2" s="114">
        <v>42887</v>
      </c>
      <c r="M2" s="114">
        <v>42917</v>
      </c>
      <c r="N2" s="114">
        <v>42948</v>
      </c>
      <c r="O2" s="114">
        <v>42979</v>
      </c>
      <c r="P2" s="91">
        <v>43009</v>
      </c>
      <c r="Q2" s="91">
        <v>43040</v>
      </c>
      <c r="R2" s="91">
        <v>43070</v>
      </c>
      <c r="S2" s="112">
        <v>2017</v>
      </c>
      <c r="T2" s="212">
        <v>2017</v>
      </c>
      <c r="U2" s="89">
        <v>43101</v>
      </c>
      <c r="V2" s="89">
        <v>43132</v>
      </c>
      <c r="W2" s="89">
        <v>43160</v>
      </c>
      <c r="X2" s="89">
        <v>43191</v>
      </c>
      <c r="Y2" s="89">
        <v>43221</v>
      </c>
      <c r="Z2" s="89">
        <v>43252</v>
      </c>
      <c r="AA2" s="89">
        <v>43282</v>
      </c>
      <c r="AB2" s="89">
        <v>43313</v>
      </c>
      <c r="AC2" s="89">
        <v>43344</v>
      </c>
      <c r="AD2" s="89">
        <v>43374</v>
      </c>
      <c r="AE2" s="89">
        <v>43405</v>
      </c>
      <c r="AF2" s="89">
        <v>43435</v>
      </c>
      <c r="AG2" s="113">
        <v>2018</v>
      </c>
      <c r="AH2" s="212">
        <v>2017</v>
      </c>
    </row>
    <row r="3" spans="1:34" s="90" customFormat="1">
      <c r="A3" s="36"/>
      <c r="B3" s="92"/>
      <c r="C3" s="115" t="s">
        <v>0</v>
      </c>
      <c r="D3" s="115" t="s">
        <v>0</v>
      </c>
      <c r="E3" s="115" t="s">
        <v>0</v>
      </c>
      <c r="G3" s="115" t="s">
        <v>130</v>
      </c>
      <c r="H3" s="115" t="s">
        <v>130</v>
      </c>
      <c r="I3" s="115" t="s">
        <v>130</v>
      </c>
      <c r="J3" s="115" t="s">
        <v>130</v>
      </c>
      <c r="K3" s="115" t="s">
        <v>130</v>
      </c>
      <c r="L3" s="115" t="s">
        <v>130</v>
      </c>
      <c r="M3" s="115" t="s">
        <v>130</v>
      </c>
      <c r="N3" s="115" t="s">
        <v>130</v>
      </c>
      <c r="O3" s="115" t="s">
        <v>130</v>
      </c>
      <c r="P3" s="94" t="s">
        <v>130</v>
      </c>
      <c r="Q3" s="94" t="s">
        <v>130</v>
      </c>
      <c r="R3" s="94" t="s">
        <v>130</v>
      </c>
      <c r="S3" s="94" t="s">
        <v>0</v>
      </c>
      <c r="T3" s="158"/>
      <c r="U3" s="93" t="s">
        <v>130</v>
      </c>
      <c r="V3" s="93" t="s">
        <v>130</v>
      </c>
      <c r="W3" s="93" t="s">
        <v>130</v>
      </c>
      <c r="X3" s="93" t="s">
        <v>130</v>
      </c>
      <c r="Y3" s="93" t="s">
        <v>130</v>
      </c>
      <c r="Z3" s="93" t="s">
        <v>130</v>
      </c>
      <c r="AA3" s="93" t="s">
        <v>130</v>
      </c>
      <c r="AB3" s="93" t="s">
        <v>130</v>
      </c>
      <c r="AC3" s="93" t="s">
        <v>130</v>
      </c>
      <c r="AD3" s="93" t="s">
        <v>130</v>
      </c>
      <c r="AE3" s="93" t="s">
        <v>130</v>
      </c>
      <c r="AF3" s="93" t="s">
        <v>130</v>
      </c>
      <c r="AG3" s="93" t="s">
        <v>0</v>
      </c>
      <c r="AH3" s="158"/>
    </row>
    <row r="4" spans="1:34" s="90" customFormat="1">
      <c r="A4" s="36"/>
      <c r="B4" s="37" t="s">
        <v>78</v>
      </c>
      <c r="C4" s="116" t="s">
        <v>79</v>
      </c>
      <c r="D4" s="116" t="s">
        <v>79</v>
      </c>
      <c r="E4" s="116" t="s">
        <v>79</v>
      </c>
      <c r="G4" s="116" t="s">
        <v>79</v>
      </c>
      <c r="H4" s="116" t="s">
        <v>79</v>
      </c>
      <c r="I4" s="116" t="s">
        <v>79</v>
      </c>
      <c r="J4" s="116" t="s">
        <v>79</v>
      </c>
      <c r="K4" s="116" t="s">
        <v>79</v>
      </c>
      <c r="L4" s="116" t="s">
        <v>79</v>
      </c>
      <c r="M4" s="116" t="s">
        <v>79</v>
      </c>
      <c r="N4" s="116" t="s">
        <v>79</v>
      </c>
      <c r="O4" s="116" t="s">
        <v>79</v>
      </c>
      <c r="P4" s="95" t="s">
        <v>131</v>
      </c>
      <c r="Q4" s="95" t="s">
        <v>131</v>
      </c>
      <c r="R4" s="95" t="s">
        <v>131</v>
      </c>
      <c r="S4" s="95" t="s">
        <v>131</v>
      </c>
      <c r="T4" s="158"/>
      <c r="U4" s="38" t="s">
        <v>132</v>
      </c>
      <c r="V4" s="38" t="s">
        <v>132</v>
      </c>
      <c r="W4" s="38" t="s">
        <v>132</v>
      </c>
      <c r="X4" s="38" t="s">
        <v>132</v>
      </c>
      <c r="Y4" s="38" t="s">
        <v>132</v>
      </c>
      <c r="Z4" s="38" t="s">
        <v>132</v>
      </c>
      <c r="AA4" s="38" t="s">
        <v>132</v>
      </c>
      <c r="AB4" s="38" t="s">
        <v>132</v>
      </c>
      <c r="AC4" s="38" t="s">
        <v>132</v>
      </c>
      <c r="AD4" s="38" t="s">
        <v>132</v>
      </c>
      <c r="AE4" s="38" t="s">
        <v>132</v>
      </c>
      <c r="AF4" s="38" t="s">
        <v>132</v>
      </c>
      <c r="AG4" s="38" t="s">
        <v>133</v>
      </c>
      <c r="AH4" s="158"/>
    </row>
    <row r="5" spans="1:34" s="96" customFormat="1" hidden="1" outlineLevel="1">
      <c r="A5" s="39">
        <v>1100</v>
      </c>
      <c r="B5" s="40" t="s">
        <v>80</v>
      </c>
      <c r="C5" s="41">
        <v>0</v>
      </c>
      <c r="D5" s="41">
        <v>0</v>
      </c>
      <c r="E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f t="shared" ref="S5:S25" si="0">SUM(G5:R5)</f>
        <v>0</v>
      </c>
      <c r="T5" s="171"/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f t="shared" ref="AG5:AG27" si="1">SUM(U5:AF5)</f>
        <v>0</v>
      </c>
      <c r="AH5" s="171"/>
    </row>
    <row r="6" spans="1:34" s="96" customFormat="1" collapsed="1">
      <c r="A6" s="39">
        <v>1200</v>
      </c>
      <c r="B6" s="40" t="s">
        <v>81</v>
      </c>
      <c r="C6" s="41">
        <f>Služby!C27+Služby!C30</f>
        <v>0</v>
      </c>
      <c r="D6" s="41">
        <f>Služby!D27+Služby!D30</f>
        <v>0</v>
      </c>
      <c r="E6" s="41">
        <f>Služby!E27+Služby!E30</f>
        <v>0</v>
      </c>
      <c r="G6" s="41">
        <f>Služby!G27+Služby!G30</f>
        <v>0</v>
      </c>
      <c r="H6" s="41">
        <f>Služby!H27+Služby!H30</f>
        <v>0</v>
      </c>
      <c r="I6" s="41">
        <f>Služby!I27+Služby!I30</f>
        <v>2850</v>
      </c>
      <c r="J6" s="41">
        <f>Služby!J27+Služby!J30</f>
        <v>12191.216</v>
      </c>
      <c r="K6" s="41">
        <f>Služby!K27+Služby!K30</f>
        <v>0</v>
      </c>
      <c r="L6" s="41">
        <f>Služby!L27+Služby!L30</f>
        <v>0</v>
      </c>
      <c r="M6" s="41">
        <f>Služby!M27+Služby!M30</f>
        <v>0</v>
      </c>
      <c r="N6" s="41">
        <f>Služby!N27+Služby!N30</f>
        <v>0</v>
      </c>
      <c r="O6" s="41">
        <f>Služby!O27+Služby!O30</f>
        <v>0</v>
      </c>
      <c r="P6" s="41">
        <f>Služby!P27+Služby!P30</f>
        <v>0</v>
      </c>
      <c r="Q6" s="41">
        <f>Služby!Q27+Služby!Q30</f>
        <v>0</v>
      </c>
      <c r="R6" s="41">
        <f>Služby!R27+Služby!R30</f>
        <v>0</v>
      </c>
      <c r="S6" s="41">
        <f t="shared" si="0"/>
        <v>15041.216</v>
      </c>
      <c r="T6" s="211"/>
      <c r="U6" s="41">
        <f>Služby!U27+Služby!U30</f>
        <v>0</v>
      </c>
      <c r="V6" s="41">
        <f>Služby!V27+Služby!V30</f>
        <v>9090.9090909090919</v>
      </c>
      <c r="W6" s="41">
        <f>Služby!W27+Služby!W30</f>
        <v>13636.363636363638</v>
      </c>
      <c r="X6" s="41">
        <f>Služby!X27+Služby!X30</f>
        <v>22424.242424242424</v>
      </c>
      <c r="Y6" s="41">
        <f>Služby!Y27+Služby!Y30</f>
        <v>22424.242424242424</v>
      </c>
      <c r="Z6" s="41">
        <f>Služby!Z27+Služby!Z30</f>
        <v>22424.242424242424</v>
      </c>
      <c r="AA6" s="41">
        <f>Služby!AA27+Služby!AA30</f>
        <v>11212.121212121212</v>
      </c>
      <c r="AB6" s="41">
        <f>Služby!AB27+Služby!AB30</f>
        <v>11212.121212121212</v>
      </c>
      <c r="AC6" s="41">
        <f>Služby!AC27+Služby!AC30</f>
        <v>22424.242424242424</v>
      </c>
      <c r="AD6" s="41">
        <f>Služby!AD27+Služby!AD30</f>
        <v>26969.696969696972</v>
      </c>
      <c r="AE6" s="41">
        <f>Služby!AE27+Služby!AE30</f>
        <v>26969.696969696972</v>
      </c>
      <c r="AF6" s="41">
        <f>Služby!AF27+Služby!AF30</f>
        <v>11212.121212121212</v>
      </c>
      <c r="AG6" s="41">
        <f t="shared" si="1"/>
        <v>200000</v>
      </c>
      <c r="AH6" s="211"/>
    </row>
    <row r="7" spans="1:34" s="96" customFormat="1" hidden="1" outlineLevel="1">
      <c r="A7" s="42">
        <v>1300</v>
      </c>
      <c r="B7" s="43" t="s">
        <v>82</v>
      </c>
      <c r="C7" s="41">
        <v>0</v>
      </c>
      <c r="D7" s="41">
        <v>0</v>
      </c>
      <c r="E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f t="shared" si="0"/>
        <v>0</v>
      </c>
      <c r="T7" s="211" t="e">
        <f>SUM(G7:O7)/SUM($G$5:$O$5)</f>
        <v>#DIV/0!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f t="shared" si="1"/>
        <v>0</v>
      </c>
      <c r="AH7" s="211" t="e">
        <f>SUM(U7:AC7)/SUM($G$5:$O$5)</f>
        <v>#DIV/0!</v>
      </c>
    </row>
    <row r="8" spans="1:34" s="96" customFormat="1" hidden="1" outlineLevel="1">
      <c r="A8" s="42">
        <v>1400</v>
      </c>
      <c r="B8" s="43" t="s">
        <v>83</v>
      </c>
      <c r="C8" s="41">
        <v>0</v>
      </c>
      <c r="D8" s="41">
        <v>0</v>
      </c>
      <c r="E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f t="shared" si="0"/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f t="shared" si="1"/>
        <v>0</v>
      </c>
    </row>
    <row r="9" spans="1:34" s="96" customFormat="1" hidden="1" outlineLevel="1">
      <c r="A9" s="42">
        <v>1500</v>
      </c>
      <c r="B9" s="43" t="s">
        <v>84</v>
      </c>
      <c r="C9" s="44">
        <v>0</v>
      </c>
      <c r="D9" s="44">
        <v>0</v>
      </c>
      <c r="E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f t="shared" si="0"/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f t="shared" si="1"/>
        <v>0</v>
      </c>
    </row>
    <row r="10" spans="1:34" s="96" customFormat="1" collapsed="1">
      <c r="A10" s="45">
        <v>9000</v>
      </c>
      <c r="B10" s="117" t="s">
        <v>1</v>
      </c>
      <c r="C10" s="107">
        <f t="shared" ref="C10:E10" si="2">SUM(C5:C9)</f>
        <v>0</v>
      </c>
      <c r="D10" s="107">
        <f t="shared" si="2"/>
        <v>0</v>
      </c>
      <c r="E10" s="107">
        <f t="shared" si="2"/>
        <v>0</v>
      </c>
      <c r="G10" s="107">
        <f t="shared" ref="G10:R10" si="3">SUM(G5:G9)</f>
        <v>0</v>
      </c>
      <c r="H10" s="107">
        <f t="shared" si="3"/>
        <v>0</v>
      </c>
      <c r="I10" s="107">
        <f t="shared" si="3"/>
        <v>2850</v>
      </c>
      <c r="J10" s="107">
        <f t="shared" si="3"/>
        <v>12191.216</v>
      </c>
      <c r="K10" s="107">
        <f t="shared" si="3"/>
        <v>0</v>
      </c>
      <c r="L10" s="107">
        <f t="shared" si="3"/>
        <v>0</v>
      </c>
      <c r="M10" s="107">
        <f t="shared" si="3"/>
        <v>0</v>
      </c>
      <c r="N10" s="107">
        <f t="shared" si="3"/>
        <v>0</v>
      </c>
      <c r="O10" s="107">
        <f t="shared" si="3"/>
        <v>0</v>
      </c>
      <c r="P10" s="107">
        <f t="shared" si="3"/>
        <v>0</v>
      </c>
      <c r="Q10" s="107">
        <f t="shared" si="3"/>
        <v>0</v>
      </c>
      <c r="R10" s="107">
        <f t="shared" si="3"/>
        <v>0</v>
      </c>
      <c r="S10" s="107">
        <f t="shared" si="0"/>
        <v>15041.216</v>
      </c>
      <c r="U10" s="107">
        <f t="shared" ref="U10:AF10" si="4">SUM(U5:U9)</f>
        <v>0</v>
      </c>
      <c r="V10" s="107">
        <f t="shared" si="4"/>
        <v>9090.9090909090919</v>
      </c>
      <c r="W10" s="107">
        <f t="shared" si="4"/>
        <v>13636.363636363638</v>
      </c>
      <c r="X10" s="107">
        <f t="shared" si="4"/>
        <v>22424.242424242424</v>
      </c>
      <c r="Y10" s="107">
        <f t="shared" si="4"/>
        <v>22424.242424242424</v>
      </c>
      <c r="Z10" s="107">
        <f t="shared" si="4"/>
        <v>22424.242424242424</v>
      </c>
      <c r="AA10" s="107">
        <f t="shared" si="4"/>
        <v>11212.121212121212</v>
      </c>
      <c r="AB10" s="107">
        <f t="shared" si="4"/>
        <v>11212.121212121212</v>
      </c>
      <c r="AC10" s="107">
        <f t="shared" si="4"/>
        <v>22424.242424242424</v>
      </c>
      <c r="AD10" s="107">
        <f t="shared" si="4"/>
        <v>26969.696969696972</v>
      </c>
      <c r="AE10" s="107">
        <f t="shared" si="4"/>
        <v>26969.696969696972</v>
      </c>
      <c r="AF10" s="107">
        <f t="shared" si="4"/>
        <v>11212.121212121212</v>
      </c>
      <c r="AG10" s="107">
        <f t="shared" si="1"/>
        <v>200000</v>
      </c>
    </row>
    <row r="11" spans="1:34" s="96" customFormat="1" ht="23.1" hidden="1" customHeight="1" outlineLevel="1">
      <c r="A11" s="42">
        <v>2110</v>
      </c>
      <c r="B11" s="43" t="s">
        <v>85</v>
      </c>
      <c r="C11" s="41">
        <v>0</v>
      </c>
      <c r="D11" s="41">
        <v>0</v>
      </c>
      <c r="E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f t="shared" si="0"/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f t="shared" si="1"/>
        <v>0</v>
      </c>
    </row>
    <row r="12" spans="1:34" s="96" customFormat="1" hidden="1" outlineLevel="1">
      <c r="A12" s="42">
        <v>2120</v>
      </c>
      <c r="B12" s="43" t="s">
        <v>86</v>
      </c>
      <c r="C12" s="41">
        <v>0</v>
      </c>
      <c r="D12" s="41">
        <v>0</v>
      </c>
      <c r="E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f t="shared" si="0"/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 t="shared" si="1"/>
        <v>0</v>
      </c>
    </row>
    <row r="13" spans="1:34" s="96" customFormat="1" hidden="1" outlineLevel="1">
      <c r="A13" s="42">
        <v>2130</v>
      </c>
      <c r="B13" s="43" t="s">
        <v>87</v>
      </c>
      <c r="C13" s="44">
        <v>0</v>
      </c>
      <c r="D13" s="44">
        <v>0</v>
      </c>
      <c r="E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f t="shared" si="0"/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f t="shared" si="1"/>
        <v>0</v>
      </c>
    </row>
    <row r="14" spans="1:34" s="96" customFormat="1" hidden="1" outlineLevel="1">
      <c r="A14" s="45">
        <v>9110</v>
      </c>
      <c r="B14" s="46" t="s">
        <v>88</v>
      </c>
      <c r="C14" s="107">
        <f t="shared" ref="C14:E14" si="5">SUM(C11:C13)</f>
        <v>0</v>
      </c>
      <c r="D14" s="107">
        <f t="shared" si="5"/>
        <v>0</v>
      </c>
      <c r="E14" s="107">
        <f t="shared" si="5"/>
        <v>0</v>
      </c>
      <c r="G14" s="107">
        <f t="shared" ref="G14:R14" si="6">SUM(G11:G13)</f>
        <v>0</v>
      </c>
      <c r="H14" s="107">
        <f t="shared" si="6"/>
        <v>0</v>
      </c>
      <c r="I14" s="107">
        <f t="shared" si="6"/>
        <v>0</v>
      </c>
      <c r="J14" s="107">
        <f t="shared" si="6"/>
        <v>0</v>
      </c>
      <c r="K14" s="107">
        <f t="shared" si="6"/>
        <v>0</v>
      </c>
      <c r="L14" s="107">
        <f t="shared" si="6"/>
        <v>0</v>
      </c>
      <c r="M14" s="107">
        <f t="shared" si="6"/>
        <v>0</v>
      </c>
      <c r="N14" s="107">
        <f t="shared" si="6"/>
        <v>0</v>
      </c>
      <c r="O14" s="107">
        <f t="shared" si="6"/>
        <v>0</v>
      </c>
      <c r="P14" s="107">
        <f t="shared" si="6"/>
        <v>0</v>
      </c>
      <c r="Q14" s="107">
        <f t="shared" si="6"/>
        <v>0</v>
      </c>
      <c r="R14" s="107">
        <f t="shared" si="6"/>
        <v>0</v>
      </c>
      <c r="S14" s="107">
        <f t="shared" si="0"/>
        <v>0</v>
      </c>
      <c r="U14" s="107">
        <f t="shared" ref="U14:AF14" si="7">SUM(U11:U13)</f>
        <v>0</v>
      </c>
      <c r="V14" s="107">
        <f t="shared" si="7"/>
        <v>0</v>
      </c>
      <c r="W14" s="107">
        <f t="shared" si="7"/>
        <v>0</v>
      </c>
      <c r="X14" s="107">
        <f t="shared" si="7"/>
        <v>0</v>
      </c>
      <c r="Y14" s="107">
        <f t="shared" si="7"/>
        <v>0</v>
      </c>
      <c r="Z14" s="107">
        <f t="shared" si="7"/>
        <v>0</v>
      </c>
      <c r="AA14" s="107">
        <f t="shared" si="7"/>
        <v>0</v>
      </c>
      <c r="AB14" s="107">
        <f t="shared" si="7"/>
        <v>0</v>
      </c>
      <c r="AC14" s="107">
        <f t="shared" si="7"/>
        <v>0</v>
      </c>
      <c r="AD14" s="107">
        <f t="shared" si="7"/>
        <v>0</v>
      </c>
      <c r="AE14" s="107">
        <f t="shared" si="7"/>
        <v>0</v>
      </c>
      <c r="AF14" s="107">
        <f t="shared" si="7"/>
        <v>0</v>
      </c>
      <c r="AG14" s="107">
        <f t="shared" si="1"/>
        <v>0</v>
      </c>
    </row>
    <row r="15" spans="1:34" s="96" customFormat="1" ht="26.1" customHeight="1" collapsed="1">
      <c r="A15" s="42">
        <v>2210</v>
      </c>
      <c r="B15" s="43" t="s">
        <v>89</v>
      </c>
      <c r="C15" s="41">
        <v>0</v>
      </c>
      <c r="D15" s="41">
        <v>0</v>
      </c>
      <c r="E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f t="shared" si="0"/>
        <v>0</v>
      </c>
      <c r="T15" s="211">
        <f>SUM(G15:O15)/SUM($G$10:$O$10)</f>
        <v>0</v>
      </c>
      <c r="U15" s="41">
        <f>U6*$AH15</f>
        <v>0</v>
      </c>
      <c r="V15" s="41">
        <f t="shared" ref="V15:AF15" si="8">V6*$AH15</f>
        <v>45.45454545454546</v>
      </c>
      <c r="W15" s="41">
        <f t="shared" si="8"/>
        <v>68.181818181818187</v>
      </c>
      <c r="X15" s="41">
        <f t="shared" si="8"/>
        <v>112.12121212121212</v>
      </c>
      <c r="Y15" s="41">
        <f t="shared" si="8"/>
        <v>112.12121212121212</v>
      </c>
      <c r="Z15" s="41">
        <f t="shared" si="8"/>
        <v>112.12121212121212</v>
      </c>
      <c r="AA15" s="41">
        <f t="shared" si="8"/>
        <v>56.060606060606062</v>
      </c>
      <c r="AB15" s="41">
        <f t="shared" si="8"/>
        <v>56.060606060606062</v>
      </c>
      <c r="AC15" s="41">
        <f t="shared" si="8"/>
        <v>112.12121212121212</v>
      </c>
      <c r="AD15" s="41">
        <f t="shared" si="8"/>
        <v>134.84848484848487</v>
      </c>
      <c r="AE15" s="41">
        <f t="shared" si="8"/>
        <v>134.84848484848487</v>
      </c>
      <c r="AF15" s="41">
        <f t="shared" si="8"/>
        <v>56.060606060606062</v>
      </c>
      <c r="AG15" s="41">
        <f t="shared" si="1"/>
        <v>1000</v>
      </c>
      <c r="AH15" s="215">
        <v>5.0000000000000001E-3</v>
      </c>
    </row>
    <row r="16" spans="1:34" s="96" customFormat="1">
      <c r="A16" s="42">
        <v>2220</v>
      </c>
      <c r="B16" s="43" t="s">
        <v>90</v>
      </c>
      <c r="C16" s="41">
        <v>0</v>
      </c>
      <c r="D16" s="41">
        <v>0</v>
      </c>
      <c r="E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f t="shared" si="0"/>
        <v>0</v>
      </c>
      <c r="T16" s="211">
        <f>SUM(G16:O16)/SUM($G$10:$O$10)</f>
        <v>0</v>
      </c>
      <c r="U16" s="234">
        <f>VLOOKUP($A$2,osobni!$F$31:$EQ$44,osobni!EE$3,FALSE)</f>
        <v>0</v>
      </c>
      <c r="V16" s="234">
        <f>VLOOKUP($A$2,osobni!$F$31:$EQ$44,osobni!EF$3,FALSE)</f>
        <v>0</v>
      </c>
      <c r="W16" s="234">
        <f>VLOOKUP($A$2,osobni!$F$31:$EQ$44,osobni!EG$3,FALSE)</f>
        <v>0</v>
      </c>
      <c r="X16" s="234">
        <f>VLOOKUP($A$2,osobni!$F$31:$EQ$44,osobni!EH$3,FALSE)</f>
        <v>0</v>
      </c>
      <c r="Y16" s="234">
        <f>VLOOKUP($A$2,osobni!$F$31:$EQ$44,osobni!EI$3,FALSE)</f>
        <v>0</v>
      </c>
      <c r="Z16" s="234">
        <f>VLOOKUP($A$2,osobni!$F$31:$EQ$44,osobni!EJ$3,FALSE)</f>
        <v>0</v>
      </c>
      <c r="AA16" s="234">
        <f>VLOOKUP($A$2,osobni!$F$31:$EQ$44,osobni!EK$3,FALSE)</f>
        <v>0</v>
      </c>
      <c r="AB16" s="234">
        <f>VLOOKUP($A$2,osobni!$F$31:$EQ$44,osobni!EL$3,FALSE)</f>
        <v>0</v>
      </c>
      <c r="AC16" s="234">
        <f>VLOOKUP($A$2,osobni!$F$31:$EQ$44,osobni!EM$3,FALSE)</f>
        <v>0</v>
      </c>
      <c r="AD16" s="234">
        <f>VLOOKUP($A$2,osobni!$F$31:$EQ$44,osobni!EN$3,FALSE)</f>
        <v>0</v>
      </c>
      <c r="AE16" s="234">
        <f>VLOOKUP($A$2,osobni!$F$31:$EQ$44,osobni!EO$3,FALSE)</f>
        <v>0</v>
      </c>
      <c r="AF16" s="234">
        <f>VLOOKUP($A$2,osobni!$F$31:$EQ$44,osobni!EP$3,FALSE)</f>
        <v>0</v>
      </c>
      <c r="AG16" s="41">
        <f t="shared" si="1"/>
        <v>0</v>
      </c>
      <c r="AH16" s="211"/>
    </row>
    <row r="17" spans="1:43" s="96" customFormat="1">
      <c r="A17" s="42">
        <v>2230</v>
      </c>
      <c r="B17" s="43" t="s">
        <v>91</v>
      </c>
      <c r="C17" s="44">
        <v>0</v>
      </c>
      <c r="D17" s="44">
        <v>0</v>
      </c>
      <c r="E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 t="shared" si="0"/>
        <v>0</v>
      </c>
      <c r="T17" s="211">
        <f>SUM(G17:O17)/SUM($G$10:$O$10)</f>
        <v>0</v>
      </c>
      <c r="U17" s="44">
        <f>U6*$AH17</f>
        <v>0</v>
      </c>
      <c r="V17" s="44">
        <f t="shared" ref="V17:AF17" si="9">V6*$AH17</f>
        <v>0</v>
      </c>
      <c r="W17" s="44">
        <f t="shared" si="9"/>
        <v>0</v>
      </c>
      <c r="X17" s="44">
        <f t="shared" si="9"/>
        <v>0</v>
      </c>
      <c r="Y17" s="44">
        <f t="shared" si="9"/>
        <v>0</v>
      </c>
      <c r="Z17" s="44">
        <f t="shared" si="9"/>
        <v>0</v>
      </c>
      <c r="AA17" s="44">
        <f t="shared" si="9"/>
        <v>0</v>
      </c>
      <c r="AB17" s="44">
        <f t="shared" si="9"/>
        <v>0</v>
      </c>
      <c r="AC17" s="44">
        <f t="shared" si="9"/>
        <v>0</v>
      </c>
      <c r="AD17" s="44">
        <f t="shared" si="9"/>
        <v>0</v>
      </c>
      <c r="AE17" s="44">
        <f t="shared" si="9"/>
        <v>0</v>
      </c>
      <c r="AF17" s="44">
        <f t="shared" si="9"/>
        <v>0</v>
      </c>
      <c r="AG17" s="44">
        <f t="shared" si="1"/>
        <v>0</v>
      </c>
      <c r="AH17" s="215">
        <v>0</v>
      </c>
    </row>
    <row r="18" spans="1:43" s="96" customFormat="1">
      <c r="A18" s="45">
        <v>9120</v>
      </c>
      <c r="B18" s="46" t="s">
        <v>92</v>
      </c>
      <c r="C18" s="107">
        <f t="shared" ref="C18:E18" si="10">SUM(C15:C17)</f>
        <v>0</v>
      </c>
      <c r="D18" s="107">
        <f t="shared" si="10"/>
        <v>0</v>
      </c>
      <c r="E18" s="107">
        <f t="shared" si="10"/>
        <v>0</v>
      </c>
      <c r="G18" s="107">
        <f t="shared" ref="G18:R18" si="11">SUM(G15:G17)</f>
        <v>0</v>
      </c>
      <c r="H18" s="107">
        <f t="shared" si="11"/>
        <v>0</v>
      </c>
      <c r="I18" s="107">
        <f t="shared" si="11"/>
        <v>0</v>
      </c>
      <c r="J18" s="107">
        <f t="shared" si="11"/>
        <v>0</v>
      </c>
      <c r="K18" s="107">
        <f t="shared" si="11"/>
        <v>0</v>
      </c>
      <c r="L18" s="107">
        <f t="shared" si="11"/>
        <v>0</v>
      </c>
      <c r="M18" s="107">
        <f t="shared" si="11"/>
        <v>0</v>
      </c>
      <c r="N18" s="107">
        <f t="shared" si="11"/>
        <v>0</v>
      </c>
      <c r="O18" s="107">
        <f t="shared" si="11"/>
        <v>0</v>
      </c>
      <c r="P18" s="107">
        <f t="shared" si="11"/>
        <v>0</v>
      </c>
      <c r="Q18" s="107">
        <f t="shared" si="11"/>
        <v>0</v>
      </c>
      <c r="R18" s="107">
        <f t="shared" si="11"/>
        <v>0</v>
      </c>
      <c r="S18" s="107">
        <f t="shared" si="0"/>
        <v>0</v>
      </c>
      <c r="U18" s="107">
        <f t="shared" ref="U18:AF18" si="12">SUM(U15:U17)</f>
        <v>0</v>
      </c>
      <c r="V18" s="107">
        <f t="shared" si="12"/>
        <v>45.45454545454546</v>
      </c>
      <c r="W18" s="107">
        <f t="shared" si="12"/>
        <v>68.181818181818187</v>
      </c>
      <c r="X18" s="107">
        <f t="shared" si="12"/>
        <v>112.12121212121212</v>
      </c>
      <c r="Y18" s="107">
        <f t="shared" si="12"/>
        <v>112.12121212121212</v>
      </c>
      <c r="Z18" s="107">
        <f t="shared" si="12"/>
        <v>112.12121212121212</v>
      </c>
      <c r="AA18" s="107">
        <f t="shared" si="12"/>
        <v>56.060606060606062</v>
      </c>
      <c r="AB18" s="107">
        <f t="shared" si="12"/>
        <v>56.060606060606062</v>
      </c>
      <c r="AC18" s="107">
        <f t="shared" si="12"/>
        <v>112.12121212121212</v>
      </c>
      <c r="AD18" s="107">
        <f t="shared" si="12"/>
        <v>134.84848484848487</v>
      </c>
      <c r="AE18" s="107">
        <f t="shared" si="12"/>
        <v>134.84848484848487</v>
      </c>
      <c r="AF18" s="107">
        <f t="shared" si="12"/>
        <v>56.060606060606062</v>
      </c>
      <c r="AG18" s="107">
        <f t="shared" si="1"/>
        <v>1000</v>
      </c>
    </row>
    <row r="19" spans="1:43" s="96" customFormat="1" hidden="1" outlineLevel="1">
      <c r="A19" s="48">
        <v>2300</v>
      </c>
      <c r="B19" s="49" t="s">
        <v>93</v>
      </c>
      <c r="C19" s="41">
        <v>0</v>
      </c>
      <c r="D19" s="41">
        <v>0</v>
      </c>
      <c r="E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f t="shared" si="0"/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f t="shared" si="1"/>
        <v>0</v>
      </c>
    </row>
    <row r="20" spans="1:43" s="96" customFormat="1" hidden="1" outlineLevel="1">
      <c r="A20" s="48">
        <v>2400</v>
      </c>
      <c r="B20" s="49" t="s">
        <v>94</v>
      </c>
      <c r="C20" s="41">
        <v>0</v>
      </c>
      <c r="D20" s="41">
        <v>0</v>
      </c>
      <c r="E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f t="shared" si="0"/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f t="shared" si="1"/>
        <v>0</v>
      </c>
    </row>
    <row r="21" spans="1:43" s="96" customFormat="1" hidden="1" outlineLevel="1">
      <c r="A21" s="50">
        <v>9100</v>
      </c>
      <c r="B21" s="50" t="s">
        <v>61</v>
      </c>
      <c r="C21" s="107">
        <f t="shared" ref="C21:E21" si="13">SUM(C14,C18,C19,C20)</f>
        <v>0</v>
      </c>
      <c r="D21" s="107">
        <f t="shared" si="13"/>
        <v>0</v>
      </c>
      <c r="E21" s="107">
        <f t="shared" si="13"/>
        <v>0</v>
      </c>
      <c r="G21" s="107">
        <f t="shared" ref="G21:R21" si="14">SUM(G14,G18,G19,G20)</f>
        <v>0</v>
      </c>
      <c r="H21" s="107">
        <f t="shared" si="14"/>
        <v>0</v>
      </c>
      <c r="I21" s="107">
        <f t="shared" si="14"/>
        <v>0</v>
      </c>
      <c r="J21" s="107">
        <f t="shared" si="14"/>
        <v>0</v>
      </c>
      <c r="K21" s="107">
        <f t="shared" si="14"/>
        <v>0</v>
      </c>
      <c r="L21" s="107">
        <f t="shared" si="14"/>
        <v>0</v>
      </c>
      <c r="M21" s="107">
        <f t="shared" si="14"/>
        <v>0</v>
      </c>
      <c r="N21" s="107">
        <f t="shared" si="14"/>
        <v>0</v>
      </c>
      <c r="O21" s="107">
        <f t="shared" si="14"/>
        <v>0</v>
      </c>
      <c r="P21" s="107">
        <f t="shared" si="14"/>
        <v>0</v>
      </c>
      <c r="Q21" s="107">
        <f t="shared" si="14"/>
        <v>0</v>
      </c>
      <c r="R21" s="107">
        <f t="shared" si="14"/>
        <v>0</v>
      </c>
      <c r="S21" s="107">
        <f t="shared" si="0"/>
        <v>0</v>
      </c>
      <c r="U21" s="107">
        <f t="shared" ref="U21:AF21" si="15">SUM(U14,U18,U19,U20)</f>
        <v>0</v>
      </c>
      <c r="V21" s="107">
        <f t="shared" si="15"/>
        <v>45.45454545454546</v>
      </c>
      <c r="W21" s="107">
        <f t="shared" si="15"/>
        <v>68.181818181818187</v>
      </c>
      <c r="X21" s="107">
        <f t="shared" si="15"/>
        <v>112.12121212121212</v>
      </c>
      <c r="Y21" s="107">
        <f t="shared" si="15"/>
        <v>112.12121212121212</v>
      </c>
      <c r="Z21" s="107">
        <f t="shared" si="15"/>
        <v>112.12121212121212</v>
      </c>
      <c r="AA21" s="107">
        <f t="shared" si="15"/>
        <v>56.060606060606062</v>
      </c>
      <c r="AB21" s="107">
        <f t="shared" si="15"/>
        <v>56.060606060606062</v>
      </c>
      <c r="AC21" s="107">
        <f t="shared" si="15"/>
        <v>112.12121212121212</v>
      </c>
      <c r="AD21" s="107">
        <f t="shared" si="15"/>
        <v>134.84848484848487</v>
      </c>
      <c r="AE21" s="107">
        <f t="shared" si="15"/>
        <v>134.84848484848487</v>
      </c>
      <c r="AF21" s="107">
        <f t="shared" si="15"/>
        <v>56.060606060606062</v>
      </c>
      <c r="AG21" s="107">
        <f t="shared" si="1"/>
        <v>1000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</row>
    <row r="22" spans="1:43" s="97" customFormat="1" hidden="1" outlineLevel="1">
      <c r="A22" s="42">
        <v>9210</v>
      </c>
      <c r="B22" s="43" t="s">
        <v>95</v>
      </c>
      <c r="C22" s="51">
        <v>0</v>
      </c>
      <c r="D22" s="51">
        <v>0</v>
      </c>
      <c r="E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ref="P22:R22" si="16">P5-P14</f>
        <v>0</v>
      </c>
      <c r="Q22" s="51">
        <f t="shared" si="16"/>
        <v>0</v>
      </c>
      <c r="R22" s="51">
        <f t="shared" si="16"/>
        <v>0</v>
      </c>
      <c r="S22" s="51">
        <f t="shared" si="0"/>
        <v>0</v>
      </c>
      <c r="U22" s="51">
        <f t="shared" ref="U22:AF22" si="17">U5-U14</f>
        <v>0</v>
      </c>
      <c r="V22" s="51">
        <f t="shared" si="17"/>
        <v>0</v>
      </c>
      <c r="W22" s="51">
        <f t="shared" si="17"/>
        <v>0</v>
      </c>
      <c r="X22" s="51">
        <f t="shared" si="17"/>
        <v>0</v>
      </c>
      <c r="Y22" s="51">
        <f t="shared" si="17"/>
        <v>0</v>
      </c>
      <c r="Z22" s="51">
        <f t="shared" si="17"/>
        <v>0</v>
      </c>
      <c r="AA22" s="51">
        <f t="shared" si="17"/>
        <v>0</v>
      </c>
      <c r="AB22" s="51">
        <f t="shared" si="17"/>
        <v>0</v>
      </c>
      <c r="AC22" s="51">
        <f t="shared" si="17"/>
        <v>0</v>
      </c>
      <c r="AD22" s="51">
        <f t="shared" si="17"/>
        <v>0</v>
      </c>
      <c r="AE22" s="51">
        <f t="shared" si="17"/>
        <v>0</v>
      </c>
      <c r="AF22" s="51">
        <f t="shared" si="17"/>
        <v>0</v>
      </c>
      <c r="AG22" s="51">
        <f t="shared" si="1"/>
        <v>0</v>
      </c>
      <c r="AH22" s="47"/>
      <c r="AI22" s="47"/>
      <c r="AJ22" s="47"/>
      <c r="AK22" s="47"/>
      <c r="AL22" s="47"/>
      <c r="AM22" s="47"/>
      <c r="AN22" s="47"/>
      <c r="AO22" s="47"/>
      <c r="AP22" s="47"/>
      <c r="AQ22" s="47"/>
    </row>
    <row r="23" spans="1:43" s="97" customFormat="1" hidden="1" outlineLevel="1">
      <c r="A23" s="42">
        <v>9220</v>
      </c>
      <c r="B23" s="43" t="s">
        <v>8</v>
      </c>
      <c r="C23" s="51">
        <v>0</v>
      </c>
      <c r="D23" s="51">
        <v>0</v>
      </c>
      <c r="E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ref="P23:R25" si="18">P6-P18</f>
        <v>0</v>
      </c>
      <c r="Q23" s="51">
        <f t="shared" si="18"/>
        <v>0</v>
      </c>
      <c r="R23" s="51">
        <f t="shared" si="18"/>
        <v>0</v>
      </c>
      <c r="S23" s="51">
        <f t="shared" si="0"/>
        <v>0</v>
      </c>
      <c r="U23" s="51">
        <f t="shared" ref="U23:AF25" si="19">U6-U18</f>
        <v>0</v>
      </c>
      <c r="V23" s="51">
        <f t="shared" si="19"/>
        <v>9045.454545454546</v>
      </c>
      <c r="W23" s="51">
        <f t="shared" si="19"/>
        <v>13568.18181818182</v>
      </c>
      <c r="X23" s="51">
        <f t="shared" si="19"/>
        <v>22312.121212121212</v>
      </c>
      <c r="Y23" s="51">
        <f t="shared" si="19"/>
        <v>22312.121212121212</v>
      </c>
      <c r="Z23" s="51">
        <f t="shared" si="19"/>
        <v>22312.121212121212</v>
      </c>
      <c r="AA23" s="51">
        <f t="shared" si="19"/>
        <v>11156.060606060606</v>
      </c>
      <c r="AB23" s="51">
        <f t="shared" si="19"/>
        <v>11156.060606060606</v>
      </c>
      <c r="AC23" s="51">
        <f t="shared" si="19"/>
        <v>22312.121212121212</v>
      </c>
      <c r="AD23" s="51">
        <f t="shared" si="19"/>
        <v>26834.848484848488</v>
      </c>
      <c r="AE23" s="51">
        <f t="shared" si="19"/>
        <v>26834.848484848488</v>
      </c>
      <c r="AF23" s="51">
        <f t="shared" si="19"/>
        <v>11156.060606060606</v>
      </c>
      <c r="AG23" s="51">
        <f t="shared" si="1"/>
        <v>199000</v>
      </c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1:43" s="97" customFormat="1" hidden="1" outlineLevel="1">
      <c r="A24" s="42">
        <v>9230</v>
      </c>
      <c r="B24" s="43" t="s">
        <v>9</v>
      </c>
      <c r="C24" s="51">
        <v>0</v>
      </c>
      <c r="D24" s="51">
        <v>0</v>
      </c>
      <c r="E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18"/>
        <v>0</v>
      </c>
      <c r="Q24" s="51">
        <f t="shared" si="18"/>
        <v>0</v>
      </c>
      <c r="R24" s="51">
        <f t="shared" si="18"/>
        <v>0</v>
      </c>
      <c r="S24" s="51">
        <f t="shared" si="0"/>
        <v>0</v>
      </c>
      <c r="U24" s="51">
        <f t="shared" si="19"/>
        <v>0</v>
      </c>
      <c r="V24" s="51">
        <f t="shared" si="19"/>
        <v>0</v>
      </c>
      <c r="W24" s="51">
        <f t="shared" si="19"/>
        <v>0</v>
      </c>
      <c r="X24" s="51">
        <f t="shared" si="19"/>
        <v>0</v>
      </c>
      <c r="Y24" s="51">
        <f t="shared" si="19"/>
        <v>0</v>
      </c>
      <c r="Z24" s="51">
        <f t="shared" si="19"/>
        <v>0</v>
      </c>
      <c r="AA24" s="51">
        <f t="shared" si="19"/>
        <v>0</v>
      </c>
      <c r="AB24" s="51">
        <f t="shared" si="19"/>
        <v>0</v>
      </c>
      <c r="AC24" s="51">
        <f t="shared" si="19"/>
        <v>0</v>
      </c>
      <c r="AD24" s="51">
        <f t="shared" si="19"/>
        <v>0</v>
      </c>
      <c r="AE24" s="51">
        <f t="shared" si="19"/>
        <v>0</v>
      </c>
      <c r="AF24" s="51">
        <f t="shared" si="19"/>
        <v>0</v>
      </c>
      <c r="AG24" s="51">
        <f t="shared" si="1"/>
        <v>0</v>
      </c>
      <c r="AH24" s="47"/>
      <c r="AI24" s="47"/>
      <c r="AJ24" s="47"/>
      <c r="AK24" s="47"/>
      <c r="AL24" s="47"/>
      <c r="AM24" s="47"/>
      <c r="AN24" s="47"/>
      <c r="AO24" s="47"/>
      <c r="AP24" s="47"/>
      <c r="AQ24" s="47"/>
    </row>
    <row r="25" spans="1:43" s="97" customFormat="1" hidden="1" outlineLevel="1">
      <c r="A25" s="42">
        <v>9240</v>
      </c>
      <c r="B25" s="43" t="s">
        <v>96</v>
      </c>
      <c r="C25" s="51">
        <v>0</v>
      </c>
      <c r="D25" s="51">
        <v>0</v>
      </c>
      <c r="E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8"/>
        <v>0</v>
      </c>
      <c r="Q25" s="51">
        <f t="shared" si="18"/>
        <v>0</v>
      </c>
      <c r="R25" s="51">
        <f t="shared" si="18"/>
        <v>0</v>
      </c>
      <c r="S25" s="51">
        <f t="shared" si="0"/>
        <v>0</v>
      </c>
      <c r="U25" s="51">
        <f t="shared" si="19"/>
        <v>0</v>
      </c>
      <c r="V25" s="51">
        <f t="shared" si="19"/>
        <v>0</v>
      </c>
      <c r="W25" s="51">
        <f t="shared" si="19"/>
        <v>0</v>
      </c>
      <c r="X25" s="51">
        <f t="shared" si="19"/>
        <v>0</v>
      </c>
      <c r="Y25" s="51">
        <f t="shared" si="19"/>
        <v>0</v>
      </c>
      <c r="Z25" s="51">
        <f t="shared" si="19"/>
        <v>0</v>
      </c>
      <c r="AA25" s="51">
        <f t="shared" si="19"/>
        <v>0</v>
      </c>
      <c r="AB25" s="51">
        <f t="shared" si="19"/>
        <v>0</v>
      </c>
      <c r="AC25" s="51">
        <f t="shared" si="19"/>
        <v>0</v>
      </c>
      <c r="AD25" s="51">
        <f t="shared" si="19"/>
        <v>0</v>
      </c>
      <c r="AE25" s="51">
        <f t="shared" si="19"/>
        <v>0</v>
      </c>
      <c r="AF25" s="51">
        <f t="shared" si="19"/>
        <v>0</v>
      </c>
      <c r="AG25" s="51">
        <f t="shared" si="1"/>
        <v>0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</row>
    <row r="26" spans="1:43" s="97" customFormat="1" hidden="1" outlineLevel="1">
      <c r="A26" s="42">
        <v>9240</v>
      </c>
      <c r="B26" s="43" t="s">
        <v>170</v>
      </c>
      <c r="C26" s="51">
        <v>0</v>
      </c>
      <c r="D26" s="51">
        <v>0</v>
      </c>
      <c r="E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>P9</f>
        <v>0</v>
      </c>
      <c r="Q26" s="51">
        <f t="shared" ref="Q26:S26" si="20">Q9</f>
        <v>0</v>
      </c>
      <c r="R26" s="51">
        <f t="shared" si="20"/>
        <v>0</v>
      </c>
      <c r="S26" s="51">
        <f t="shared" si="20"/>
        <v>0</v>
      </c>
      <c r="U26" s="51">
        <f t="shared" ref="U26:AF26" si="21">U9</f>
        <v>0</v>
      </c>
      <c r="V26" s="51">
        <f t="shared" si="21"/>
        <v>0</v>
      </c>
      <c r="W26" s="51">
        <f t="shared" si="21"/>
        <v>0</v>
      </c>
      <c r="X26" s="51">
        <f t="shared" si="21"/>
        <v>0</v>
      </c>
      <c r="Y26" s="51">
        <f t="shared" si="21"/>
        <v>0</v>
      </c>
      <c r="Z26" s="51">
        <f t="shared" si="21"/>
        <v>0</v>
      </c>
      <c r="AA26" s="51">
        <f t="shared" si="21"/>
        <v>0</v>
      </c>
      <c r="AB26" s="51">
        <f t="shared" si="21"/>
        <v>0</v>
      </c>
      <c r="AC26" s="51">
        <f t="shared" si="21"/>
        <v>0</v>
      </c>
      <c r="AD26" s="51">
        <f t="shared" si="21"/>
        <v>0</v>
      </c>
      <c r="AE26" s="51">
        <f t="shared" si="21"/>
        <v>0</v>
      </c>
      <c r="AF26" s="51">
        <f t="shared" si="21"/>
        <v>0</v>
      </c>
      <c r="AG26" s="51">
        <f t="shared" ref="AG26" si="22">SUM(U26:AF26)</f>
        <v>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/>
    </row>
    <row r="27" spans="1:43" s="97" customFormat="1" ht="24" customHeight="1" collapsed="1">
      <c r="A27" s="42">
        <v>9200</v>
      </c>
      <c r="B27" s="52" t="s">
        <v>2</v>
      </c>
      <c r="C27" s="53">
        <f t="shared" ref="C27:E27" si="23">C10-C21</f>
        <v>0</v>
      </c>
      <c r="D27" s="53">
        <f t="shared" si="23"/>
        <v>0</v>
      </c>
      <c r="E27" s="53">
        <f t="shared" si="23"/>
        <v>0</v>
      </c>
      <c r="G27" s="53">
        <f t="shared" ref="G27:R27" si="24">G10-G21</f>
        <v>0</v>
      </c>
      <c r="H27" s="53">
        <f t="shared" si="24"/>
        <v>0</v>
      </c>
      <c r="I27" s="53">
        <f t="shared" si="24"/>
        <v>2850</v>
      </c>
      <c r="J27" s="53">
        <f t="shared" si="24"/>
        <v>12191.216</v>
      </c>
      <c r="K27" s="53">
        <f t="shared" si="24"/>
        <v>0</v>
      </c>
      <c r="L27" s="53">
        <f t="shared" si="24"/>
        <v>0</v>
      </c>
      <c r="M27" s="53">
        <f t="shared" si="24"/>
        <v>0</v>
      </c>
      <c r="N27" s="53">
        <f t="shared" si="24"/>
        <v>0</v>
      </c>
      <c r="O27" s="53">
        <f t="shared" si="24"/>
        <v>0</v>
      </c>
      <c r="P27" s="53">
        <f t="shared" si="24"/>
        <v>0</v>
      </c>
      <c r="Q27" s="53">
        <f t="shared" si="24"/>
        <v>0</v>
      </c>
      <c r="R27" s="53">
        <f t="shared" si="24"/>
        <v>0</v>
      </c>
      <c r="S27" s="53">
        <f>SUM(G27:R27)</f>
        <v>15041.216</v>
      </c>
      <c r="U27" s="53">
        <f t="shared" ref="U27:AF27" si="25">U10-U21</f>
        <v>0</v>
      </c>
      <c r="V27" s="53">
        <f t="shared" si="25"/>
        <v>9045.454545454546</v>
      </c>
      <c r="W27" s="53">
        <f t="shared" si="25"/>
        <v>13568.18181818182</v>
      </c>
      <c r="X27" s="53">
        <f t="shared" si="25"/>
        <v>22312.121212121212</v>
      </c>
      <c r="Y27" s="53">
        <f t="shared" si="25"/>
        <v>22312.121212121212</v>
      </c>
      <c r="Z27" s="53">
        <f t="shared" si="25"/>
        <v>22312.121212121212</v>
      </c>
      <c r="AA27" s="53">
        <f t="shared" si="25"/>
        <v>11156.060606060606</v>
      </c>
      <c r="AB27" s="53">
        <f t="shared" si="25"/>
        <v>11156.060606060606</v>
      </c>
      <c r="AC27" s="53">
        <f t="shared" si="25"/>
        <v>22312.121212121212</v>
      </c>
      <c r="AD27" s="53">
        <f t="shared" si="25"/>
        <v>26834.848484848488</v>
      </c>
      <c r="AE27" s="53">
        <f t="shared" si="25"/>
        <v>26834.848484848488</v>
      </c>
      <c r="AF27" s="53">
        <f t="shared" si="25"/>
        <v>11156.060606060606</v>
      </c>
      <c r="AG27" s="53">
        <f t="shared" si="1"/>
        <v>199000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</row>
    <row r="28" spans="1:43" s="120" customFormat="1" ht="26.1" hidden="1" customHeight="1" outlineLevel="1">
      <c r="A28" s="79">
        <v>9291</v>
      </c>
      <c r="B28" s="118" t="s">
        <v>97</v>
      </c>
      <c r="C28" s="119">
        <f t="shared" ref="C28:E28" si="26">IF(C5=0,0,C22/C5)</f>
        <v>0</v>
      </c>
      <c r="D28" s="119">
        <f t="shared" si="26"/>
        <v>0</v>
      </c>
      <c r="E28" s="119">
        <f t="shared" si="26"/>
        <v>0</v>
      </c>
      <c r="G28" s="119">
        <f t="shared" ref="G28:R28" si="27">IF(G5=0,0,G22/G5)</f>
        <v>0</v>
      </c>
      <c r="H28" s="119">
        <f t="shared" si="27"/>
        <v>0</v>
      </c>
      <c r="I28" s="119">
        <f t="shared" si="27"/>
        <v>0</v>
      </c>
      <c r="J28" s="119">
        <f t="shared" si="27"/>
        <v>0</v>
      </c>
      <c r="K28" s="119">
        <f t="shared" si="27"/>
        <v>0</v>
      </c>
      <c r="L28" s="119">
        <f t="shared" si="27"/>
        <v>0</v>
      </c>
      <c r="M28" s="119">
        <f t="shared" si="27"/>
        <v>0</v>
      </c>
      <c r="N28" s="119">
        <f t="shared" si="27"/>
        <v>0</v>
      </c>
      <c r="O28" s="119">
        <f t="shared" si="27"/>
        <v>0</v>
      </c>
      <c r="P28" s="119">
        <f t="shared" si="27"/>
        <v>0</v>
      </c>
      <c r="Q28" s="119">
        <f t="shared" si="27"/>
        <v>0</v>
      </c>
      <c r="R28" s="119">
        <f t="shared" si="27"/>
        <v>0</v>
      </c>
      <c r="S28" s="119">
        <f t="shared" ref="S28:S32" si="28">IF(S5=0,0,S22/S5)</f>
        <v>0</v>
      </c>
      <c r="T28" s="102"/>
      <c r="U28" s="119">
        <f t="shared" ref="U28:AG32" si="29">IF(U5=0,0,U22/U5)</f>
        <v>0</v>
      </c>
      <c r="V28" s="119">
        <f t="shared" si="29"/>
        <v>0</v>
      </c>
      <c r="W28" s="119">
        <f t="shared" si="29"/>
        <v>0</v>
      </c>
      <c r="X28" s="119">
        <f t="shared" si="29"/>
        <v>0</v>
      </c>
      <c r="Y28" s="119">
        <f t="shared" si="29"/>
        <v>0</v>
      </c>
      <c r="Z28" s="119">
        <f t="shared" si="29"/>
        <v>0</v>
      </c>
      <c r="AA28" s="119">
        <f t="shared" si="29"/>
        <v>0</v>
      </c>
      <c r="AB28" s="119">
        <f t="shared" si="29"/>
        <v>0</v>
      </c>
      <c r="AC28" s="119">
        <f t="shared" si="29"/>
        <v>0</v>
      </c>
      <c r="AD28" s="119">
        <f t="shared" si="29"/>
        <v>0</v>
      </c>
      <c r="AE28" s="119">
        <f t="shared" si="29"/>
        <v>0</v>
      </c>
      <c r="AF28" s="119">
        <f t="shared" si="29"/>
        <v>0</v>
      </c>
      <c r="AG28" s="119">
        <f t="shared" si="29"/>
        <v>0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</row>
    <row r="29" spans="1:43" s="120" customFormat="1" hidden="1" outlineLevel="1">
      <c r="A29" s="79">
        <v>9292</v>
      </c>
      <c r="B29" s="118" t="s">
        <v>6</v>
      </c>
      <c r="C29" s="119">
        <f t="shared" ref="C29:E29" si="30">IF(C6=0,0,C23/C6)</f>
        <v>0</v>
      </c>
      <c r="D29" s="119">
        <f t="shared" si="30"/>
        <v>0</v>
      </c>
      <c r="E29" s="119">
        <f t="shared" si="30"/>
        <v>0</v>
      </c>
      <c r="G29" s="119">
        <f t="shared" ref="G29:R29" si="31">IF(G6=0,0,G23/G6)</f>
        <v>0</v>
      </c>
      <c r="H29" s="119">
        <f t="shared" si="31"/>
        <v>0</v>
      </c>
      <c r="I29" s="119">
        <f t="shared" si="31"/>
        <v>0</v>
      </c>
      <c r="J29" s="119">
        <f t="shared" si="31"/>
        <v>0</v>
      </c>
      <c r="K29" s="119">
        <f t="shared" si="31"/>
        <v>0</v>
      </c>
      <c r="L29" s="119">
        <f t="shared" si="31"/>
        <v>0</v>
      </c>
      <c r="M29" s="119">
        <f t="shared" si="31"/>
        <v>0</v>
      </c>
      <c r="N29" s="119">
        <f t="shared" si="31"/>
        <v>0</v>
      </c>
      <c r="O29" s="119">
        <f t="shared" si="31"/>
        <v>0</v>
      </c>
      <c r="P29" s="119">
        <f t="shared" si="31"/>
        <v>0</v>
      </c>
      <c r="Q29" s="119">
        <f t="shared" si="31"/>
        <v>0</v>
      </c>
      <c r="R29" s="119">
        <f t="shared" si="31"/>
        <v>0</v>
      </c>
      <c r="S29" s="119">
        <f t="shared" si="28"/>
        <v>0</v>
      </c>
      <c r="T29" s="102"/>
      <c r="U29" s="119">
        <f t="shared" si="29"/>
        <v>0</v>
      </c>
      <c r="V29" s="119">
        <f t="shared" si="29"/>
        <v>0.995</v>
      </c>
      <c r="W29" s="119">
        <f t="shared" si="29"/>
        <v>0.995</v>
      </c>
      <c r="X29" s="119">
        <f t="shared" si="29"/>
        <v>0.995</v>
      </c>
      <c r="Y29" s="119">
        <f t="shared" si="29"/>
        <v>0.995</v>
      </c>
      <c r="Z29" s="119">
        <f t="shared" si="29"/>
        <v>0.995</v>
      </c>
      <c r="AA29" s="119">
        <f t="shared" si="29"/>
        <v>0.995</v>
      </c>
      <c r="AB29" s="119">
        <f t="shared" si="29"/>
        <v>0.995</v>
      </c>
      <c r="AC29" s="119">
        <f t="shared" si="29"/>
        <v>0.995</v>
      </c>
      <c r="AD29" s="119">
        <f t="shared" si="29"/>
        <v>0.995</v>
      </c>
      <c r="AE29" s="119">
        <f t="shared" si="29"/>
        <v>0.995</v>
      </c>
      <c r="AF29" s="119">
        <f t="shared" si="29"/>
        <v>0.995</v>
      </c>
      <c r="AG29" s="119">
        <f t="shared" si="29"/>
        <v>0.995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1:43" s="120" customFormat="1" hidden="1" outlineLevel="1">
      <c r="A30" s="79">
        <v>9293</v>
      </c>
      <c r="B30" s="118" t="s">
        <v>7</v>
      </c>
      <c r="C30" s="119">
        <f t="shared" ref="C30:E30" si="32">IF(C7=0,0,C24/C7)</f>
        <v>0</v>
      </c>
      <c r="D30" s="119">
        <f t="shared" si="32"/>
        <v>0</v>
      </c>
      <c r="E30" s="119">
        <f t="shared" si="32"/>
        <v>0</v>
      </c>
      <c r="G30" s="119">
        <f t="shared" ref="G30:R30" si="33">IF(G7=0,0,G24/G7)</f>
        <v>0</v>
      </c>
      <c r="H30" s="119">
        <f t="shared" si="33"/>
        <v>0</v>
      </c>
      <c r="I30" s="119">
        <f t="shared" si="33"/>
        <v>0</v>
      </c>
      <c r="J30" s="119">
        <f t="shared" si="33"/>
        <v>0</v>
      </c>
      <c r="K30" s="119">
        <f t="shared" si="33"/>
        <v>0</v>
      </c>
      <c r="L30" s="119">
        <f t="shared" si="33"/>
        <v>0</v>
      </c>
      <c r="M30" s="119">
        <f t="shared" si="33"/>
        <v>0</v>
      </c>
      <c r="N30" s="119">
        <f t="shared" si="33"/>
        <v>0</v>
      </c>
      <c r="O30" s="119">
        <f t="shared" si="33"/>
        <v>0</v>
      </c>
      <c r="P30" s="119">
        <f t="shared" si="33"/>
        <v>0</v>
      </c>
      <c r="Q30" s="119">
        <f t="shared" si="33"/>
        <v>0</v>
      </c>
      <c r="R30" s="119">
        <f t="shared" si="33"/>
        <v>0</v>
      </c>
      <c r="S30" s="119">
        <f t="shared" si="28"/>
        <v>0</v>
      </c>
      <c r="T30" s="102"/>
      <c r="U30" s="119">
        <f t="shared" si="29"/>
        <v>0</v>
      </c>
      <c r="V30" s="119">
        <f t="shared" si="29"/>
        <v>0</v>
      </c>
      <c r="W30" s="119">
        <f t="shared" si="29"/>
        <v>0</v>
      </c>
      <c r="X30" s="119">
        <f t="shared" si="29"/>
        <v>0</v>
      </c>
      <c r="Y30" s="119">
        <f t="shared" si="29"/>
        <v>0</v>
      </c>
      <c r="Z30" s="119">
        <f t="shared" si="29"/>
        <v>0</v>
      </c>
      <c r="AA30" s="119">
        <f t="shared" si="29"/>
        <v>0</v>
      </c>
      <c r="AB30" s="119">
        <f t="shared" si="29"/>
        <v>0</v>
      </c>
      <c r="AC30" s="119">
        <f t="shared" si="29"/>
        <v>0</v>
      </c>
      <c r="AD30" s="119">
        <f t="shared" si="29"/>
        <v>0</v>
      </c>
      <c r="AE30" s="119">
        <f t="shared" si="29"/>
        <v>0</v>
      </c>
      <c r="AF30" s="119">
        <f t="shared" si="29"/>
        <v>0</v>
      </c>
      <c r="AG30" s="119">
        <f t="shared" si="29"/>
        <v>0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1:43" s="120" customFormat="1" hidden="1" outlineLevel="1">
      <c r="A31" s="79">
        <v>9294</v>
      </c>
      <c r="B31" s="118" t="s">
        <v>98</v>
      </c>
      <c r="C31" s="119">
        <f t="shared" ref="C31:E31" si="34">IF(C8=0,0,C25/C8)</f>
        <v>0</v>
      </c>
      <c r="D31" s="119">
        <f t="shared" si="34"/>
        <v>0</v>
      </c>
      <c r="E31" s="119">
        <f t="shared" si="34"/>
        <v>0</v>
      </c>
      <c r="G31" s="119">
        <f t="shared" ref="G31:R31" si="35">IF(G8=0,0,G25/G8)</f>
        <v>0</v>
      </c>
      <c r="H31" s="119">
        <f t="shared" si="35"/>
        <v>0</v>
      </c>
      <c r="I31" s="119">
        <f t="shared" si="35"/>
        <v>0</v>
      </c>
      <c r="J31" s="119">
        <f t="shared" si="35"/>
        <v>0</v>
      </c>
      <c r="K31" s="119">
        <f t="shared" si="35"/>
        <v>0</v>
      </c>
      <c r="L31" s="119">
        <f t="shared" si="35"/>
        <v>0</v>
      </c>
      <c r="M31" s="119">
        <f t="shared" si="35"/>
        <v>0</v>
      </c>
      <c r="N31" s="119">
        <f t="shared" si="35"/>
        <v>0</v>
      </c>
      <c r="O31" s="119">
        <f t="shared" si="35"/>
        <v>0</v>
      </c>
      <c r="P31" s="119">
        <f t="shared" si="35"/>
        <v>0</v>
      </c>
      <c r="Q31" s="119">
        <f t="shared" si="35"/>
        <v>0</v>
      </c>
      <c r="R31" s="119">
        <f t="shared" si="35"/>
        <v>0</v>
      </c>
      <c r="S31" s="119">
        <f t="shared" si="28"/>
        <v>0</v>
      </c>
      <c r="T31" s="102"/>
      <c r="U31" s="119">
        <f t="shared" si="29"/>
        <v>0</v>
      </c>
      <c r="V31" s="119">
        <f t="shared" si="29"/>
        <v>0</v>
      </c>
      <c r="W31" s="119">
        <f t="shared" si="29"/>
        <v>0</v>
      </c>
      <c r="X31" s="119">
        <f t="shared" si="29"/>
        <v>0</v>
      </c>
      <c r="Y31" s="119">
        <f t="shared" si="29"/>
        <v>0</v>
      </c>
      <c r="Z31" s="119">
        <f t="shared" si="29"/>
        <v>0</v>
      </c>
      <c r="AA31" s="119">
        <f t="shared" si="29"/>
        <v>0</v>
      </c>
      <c r="AB31" s="119">
        <f t="shared" si="29"/>
        <v>0</v>
      </c>
      <c r="AC31" s="119">
        <f t="shared" si="29"/>
        <v>0</v>
      </c>
      <c r="AD31" s="119">
        <f t="shared" si="29"/>
        <v>0</v>
      </c>
      <c r="AE31" s="119">
        <f t="shared" si="29"/>
        <v>0</v>
      </c>
      <c r="AF31" s="119">
        <f t="shared" si="29"/>
        <v>0</v>
      </c>
      <c r="AG31" s="119">
        <f t="shared" si="29"/>
        <v>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1:43" s="120" customFormat="1" hidden="1" outlineLevel="1">
      <c r="A32" s="79">
        <v>9294</v>
      </c>
      <c r="B32" s="118" t="s">
        <v>172</v>
      </c>
      <c r="C32" s="119">
        <f t="shared" ref="C32:E32" si="36">IF(C9=0,0,C26/C9)</f>
        <v>0</v>
      </c>
      <c r="D32" s="119">
        <f t="shared" si="36"/>
        <v>0</v>
      </c>
      <c r="E32" s="119">
        <f t="shared" si="36"/>
        <v>0</v>
      </c>
      <c r="G32" s="119">
        <f t="shared" ref="G32:R32" si="37">IF(G9=0,0,G26/G9)</f>
        <v>0</v>
      </c>
      <c r="H32" s="119">
        <f t="shared" si="37"/>
        <v>0</v>
      </c>
      <c r="I32" s="119">
        <f t="shared" si="37"/>
        <v>0</v>
      </c>
      <c r="J32" s="119">
        <f t="shared" si="37"/>
        <v>0</v>
      </c>
      <c r="K32" s="119">
        <f t="shared" si="37"/>
        <v>0</v>
      </c>
      <c r="L32" s="119">
        <f t="shared" si="37"/>
        <v>0</v>
      </c>
      <c r="M32" s="119">
        <f t="shared" si="37"/>
        <v>0</v>
      </c>
      <c r="N32" s="119">
        <f t="shared" si="37"/>
        <v>0</v>
      </c>
      <c r="O32" s="119">
        <f t="shared" si="37"/>
        <v>0</v>
      </c>
      <c r="P32" s="119">
        <f t="shared" si="37"/>
        <v>0</v>
      </c>
      <c r="Q32" s="119">
        <f t="shared" si="37"/>
        <v>0</v>
      </c>
      <c r="R32" s="119">
        <f t="shared" si="37"/>
        <v>0</v>
      </c>
      <c r="S32" s="119">
        <f t="shared" si="28"/>
        <v>0</v>
      </c>
      <c r="T32" s="102"/>
      <c r="U32" s="119">
        <f t="shared" si="29"/>
        <v>0</v>
      </c>
      <c r="V32" s="119">
        <f t="shared" si="29"/>
        <v>0</v>
      </c>
      <c r="W32" s="119">
        <f t="shared" si="29"/>
        <v>0</v>
      </c>
      <c r="X32" s="119">
        <f t="shared" si="29"/>
        <v>0</v>
      </c>
      <c r="Y32" s="119">
        <f t="shared" si="29"/>
        <v>0</v>
      </c>
      <c r="Z32" s="119">
        <f t="shared" si="29"/>
        <v>0</v>
      </c>
      <c r="AA32" s="119">
        <f t="shared" si="29"/>
        <v>0</v>
      </c>
      <c r="AB32" s="119">
        <f t="shared" si="29"/>
        <v>0</v>
      </c>
      <c r="AC32" s="119">
        <f t="shared" si="29"/>
        <v>0</v>
      </c>
      <c r="AD32" s="119">
        <f t="shared" si="29"/>
        <v>0</v>
      </c>
      <c r="AE32" s="119">
        <f t="shared" si="29"/>
        <v>0</v>
      </c>
      <c r="AF32" s="119">
        <f t="shared" si="29"/>
        <v>0</v>
      </c>
      <c r="AG32" s="119">
        <f t="shared" si="29"/>
        <v>0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1:43" s="99" customFormat="1" ht="26.1" customHeight="1" collapsed="1">
      <c r="A33" s="54">
        <v>9290</v>
      </c>
      <c r="B33" s="55" t="s">
        <v>10</v>
      </c>
      <c r="C33" s="56" t="e">
        <f t="shared" ref="C33:E33" si="38">C27/C10</f>
        <v>#DIV/0!</v>
      </c>
      <c r="D33" s="56" t="e">
        <f t="shared" si="38"/>
        <v>#DIV/0!</v>
      </c>
      <c r="E33" s="56" t="e">
        <f t="shared" si="38"/>
        <v>#DIV/0!</v>
      </c>
      <c r="G33" s="56" t="e">
        <f t="shared" ref="G33:R33" si="39">G27/G10</f>
        <v>#DIV/0!</v>
      </c>
      <c r="H33" s="56" t="e">
        <f t="shared" si="39"/>
        <v>#DIV/0!</v>
      </c>
      <c r="I33" s="56">
        <f t="shared" si="39"/>
        <v>1</v>
      </c>
      <c r="J33" s="56">
        <f t="shared" si="39"/>
        <v>1</v>
      </c>
      <c r="K33" s="56" t="e">
        <f t="shared" si="39"/>
        <v>#DIV/0!</v>
      </c>
      <c r="L33" s="56" t="e">
        <f t="shared" si="39"/>
        <v>#DIV/0!</v>
      </c>
      <c r="M33" s="56" t="e">
        <f t="shared" si="39"/>
        <v>#DIV/0!</v>
      </c>
      <c r="N33" s="56" t="e">
        <f t="shared" si="39"/>
        <v>#DIV/0!</v>
      </c>
      <c r="O33" s="56" t="e">
        <f t="shared" si="39"/>
        <v>#DIV/0!</v>
      </c>
      <c r="P33" s="56" t="e">
        <f t="shared" si="39"/>
        <v>#DIV/0!</v>
      </c>
      <c r="Q33" s="56" t="e">
        <f t="shared" si="39"/>
        <v>#DIV/0!</v>
      </c>
      <c r="R33" s="56" t="e">
        <f t="shared" si="39"/>
        <v>#DIV/0!</v>
      </c>
      <c r="S33" s="56">
        <f t="shared" ref="S33" si="40">S27/S10</f>
        <v>1</v>
      </c>
      <c r="U33" s="56" t="e">
        <f t="shared" ref="U33:AG33" si="41">U27/U10</f>
        <v>#DIV/0!</v>
      </c>
      <c r="V33" s="56">
        <f t="shared" si="41"/>
        <v>0.995</v>
      </c>
      <c r="W33" s="56">
        <f t="shared" si="41"/>
        <v>0.995</v>
      </c>
      <c r="X33" s="56">
        <f t="shared" si="41"/>
        <v>0.995</v>
      </c>
      <c r="Y33" s="56">
        <f t="shared" si="41"/>
        <v>0.995</v>
      </c>
      <c r="Z33" s="56">
        <f t="shared" si="41"/>
        <v>0.995</v>
      </c>
      <c r="AA33" s="56">
        <f t="shared" si="41"/>
        <v>0.995</v>
      </c>
      <c r="AB33" s="56">
        <f t="shared" si="41"/>
        <v>0.995</v>
      </c>
      <c r="AC33" s="56">
        <f t="shared" si="41"/>
        <v>0.995</v>
      </c>
      <c r="AD33" s="56">
        <f t="shared" si="41"/>
        <v>0.995</v>
      </c>
      <c r="AE33" s="56">
        <f t="shared" si="41"/>
        <v>0.995</v>
      </c>
      <c r="AF33" s="56">
        <f t="shared" si="41"/>
        <v>0.995</v>
      </c>
      <c r="AG33" s="56">
        <f t="shared" si="41"/>
        <v>0.995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1:43" s="96" customFormat="1" hidden="1" outlineLevel="1">
      <c r="A34" s="42">
        <v>3110</v>
      </c>
      <c r="B34" s="43" t="s">
        <v>99</v>
      </c>
      <c r="C34" s="51">
        <v>0</v>
      </c>
      <c r="D34" s="51">
        <v>0</v>
      </c>
      <c r="E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f t="shared" ref="S34:S64" si="42">SUM(G34:R34)</f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f t="shared" ref="AG34:AG64" si="43">SUM(U34:AF34)</f>
        <v>0</v>
      </c>
    </row>
    <row r="35" spans="1:43" s="96" customFormat="1" hidden="1" outlineLevel="1">
      <c r="A35" s="42">
        <v>3120</v>
      </c>
      <c r="B35" s="43" t="s">
        <v>100</v>
      </c>
      <c r="C35" s="51">
        <v>0</v>
      </c>
      <c r="D35" s="51">
        <v>0</v>
      </c>
      <c r="E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f t="shared" si="42"/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f t="shared" si="43"/>
        <v>0</v>
      </c>
    </row>
    <row r="36" spans="1:43" s="96" customFormat="1" hidden="1" outlineLevel="1">
      <c r="A36" s="42">
        <v>3130</v>
      </c>
      <c r="B36" s="43" t="s">
        <v>101</v>
      </c>
      <c r="C36" s="51">
        <v>0</v>
      </c>
      <c r="D36" s="51">
        <v>0</v>
      </c>
      <c r="E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f t="shared" si="42"/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f t="shared" si="43"/>
        <v>0</v>
      </c>
    </row>
    <row r="37" spans="1:43" s="96" customFormat="1" hidden="1" outlineLevel="1">
      <c r="A37" s="42">
        <v>3140</v>
      </c>
      <c r="B37" s="43" t="s">
        <v>102</v>
      </c>
      <c r="C37" s="51">
        <v>0</v>
      </c>
      <c r="D37" s="51">
        <v>0</v>
      </c>
      <c r="E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f t="shared" si="42"/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f t="shared" si="43"/>
        <v>0</v>
      </c>
    </row>
    <row r="38" spans="1:43" s="96" customFormat="1" hidden="1" outlineLevel="1">
      <c r="A38" s="42">
        <v>3150</v>
      </c>
      <c r="B38" s="43" t="s">
        <v>103</v>
      </c>
      <c r="C38" s="44">
        <v>0</v>
      </c>
      <c r="D38" s="44">
        <v>0</v>
      </c>
      <c r="E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f t="shared" si="42"/>
        <v>0</v>
      </c>
      <c r="U38" s="235">
        <f>VLOOKUP($A$2,investice!$C$51:$AG$65,investice!U$51,FALSE)</f>
        <v>0</v>
      </c>
      <c r="V38" s="235">
        <f>VLOOKUP($A$2,investice!$C$51:$AG$65,investice!V$51,FALSE)</f>
        <v>0</v>
      </c>
      <c r="W38" s="235">
        <f>VLOOKUP($A$2,investice!$C$51:$AG$65,investice!W$51,FALSE)</f>
        <v>0</v>
      </c>
      <c r="X38" s="235">
        <f>VLOOKUP($A$2,investice!$C$51:$AG$65,investice!X$51,FALSE)</f>
        <v>0</v>
      </c>
      <c r="Y38" s="235">
        <f>VLOOKUP($A$2,investice!$C$51:$AG$65,investice!Y$51,FALSE)</f>
        <v>0</v>
      </c>
      <c r="Z38" s="235">
        <f>VLOOKUP($A$2,investice!$C$51:$AG$65,investice!Z$51,FALSE)</f>
        <v>0</v>
      </c>
      <c r="AA38" s="235">
        <f>VLOOKUP($A$2,investice!$C$51:$AG$65,investice!AA$51,FALSE)</f>
        <v>0</v>
      </c>
      <c r="AB38" s="235">
        <f>VLOOKUP($A$2,investice!$C$51:$AG$65,investice!AB$51,FALSE)</f>
        <v>0</v>
      </c>
      <c r="AC38" s="235">
        <f>VLOOKUP($A$2,investice!$C$51:$AG$65,investice!AC$51,FALSE)</f>
        <v>0</v>
      </c>
      <c r="AD38" s="235">
        <f>VLOOKUP($A$2,investice!$C$51:$AG$65,investice!AD$51,FALSE)</f>
        <v>0</v>
      </c>
      <c r="AE38" s="235">
        <f>VLOOKUP($A$2,investice!$C$51:$AG$65,investice!AE$51,FALSE)</f>
        <v>0</v>
      </c>
      <c r="AF38" s="235">
        <f>VLOOKUP($A$2,investice!$C$51:$AG$65,investice!AF$51,FALSE)</f>
        <v>0</v>
      </c>
      <c r="AG38" s="44">
        <f t="shared" si="43"/>
        <v>0</v>
      </c>
    </row>
    <row r="39" spans="1:43" s="96" customFormat="1" collapsed="1">
      <c r="A39" s="57">
        <v>9300</v>
      </c>
      <c r="B39" s="57" t="s">
        <v>14</v>
      </c>
      <c r="C39" s="41">
        <f t="shared" ref="C39:E39" si="44">SUM(C34:C38)</f>
        <v>0</v>
      </c>
      <c r="D39" s="41">
        <f t="shared" si="44"/>
        <v>0</v>
      </c>
      <c r="E39" s="41">
        <f t="shared" si="44"/>
        <v>0</v>
      </c>
      <c r="G39" s="41">
        <f t="shared" ref="G39:R39" si="45">SUM(G34:G38)</f>
        <v>0</v>
      </c>
      <c r="H39" s="41">
        <f t="shared" si="45"/>
        <v>0</v>
      </c>
      <c r="I39" s="41">
        <f t="shared" si="45"/>
        <v>0</v>
      </c>
      <c r="J39" s="41">
        <f t="shared" si="45"/>
        <v>0</v>
      </c>
      <c r="K39" s="41">
        <f t="shared" si="45"/>
        <v>0</v>
      </c>
      <c r="L39" s="41">
        <f t="shared" si="45"/>
        <v>0</v>
      </c>
      <c r="M39" s="41">
        <f t="shared" si="45"/>
        <v>0</v>
      </c>
      <c r="N39" s="41">
        <f t="shared" si="45"/>
        <v>0</v>
      </c>
      <c r="O39" s="41">
        <f t="shared" si="45"/>
        <v>0</v>
      </c>
      <c r="P39" s="41">
        <f t="shared" si="45"/>
        <v>0</v>
      </c>
      <c r="Q39" s="41">
        <f t="shared" si="45"/>
        <v>0</v>
      </c>
      <c r="R39" s="41">
        <f t="shared" si="45"/>
        <v>0</v>
      </c>
      <c r="S39" s="41">
        <f t="shared" si="42"/>
        <v>0</v>
      </c>
      <c r="U39" s="41">
        <f t="shared" ref="U39:AF39" si="46">SUM(U34:U38)</f>
        <v>0</v>
      </c>
      <c r="V39" s="41">
        <f t="shared" si="46"/>
        <v>0</v>
      </c>
      <c r="W39" s="41">
        <f t="shared" si="46"/>
        <v>0</v>
      </c>
      <c r="X39" s="41">
        <f t="shared" si="46"/>
        <v>0</v>
      </c>
      <c r="Y39" s="41">
        <f t="shared" si="46"/>
        <v>0</v>
      </c>
      <c r="Z39" s="41">
        <f t="shared" si="46"/>
        <v>0</v>
      </c>
      <c r="AA39" s="41">
        <f t="shared" si="46"/>
        <v>0</v>
      </c>
      <c r="AB39" s="41">
        <f t="shared" si="46"/>
        <v>0</v>
      </c>
      <c r="AC39" s="41">
        <f t="shared" si="46"/>
        <v>0</v>
      </c>
      <c r="AD39" s="41">
        <f t="shared" si="46"/>
        <v>0</v>
      </c>
      <c r="AE39" s="41">
        <f t="shared" si="46"/>
        <v>0</v>
      </c>
      <c r="AF39" s="41">
        <f t="shared" si="46"/>
        <v>0</v>
      </c>
      <c r="AG39" s="41">
        <f t="shared" si="43"/>
        <v>0</v>
      </c>
    </row>
    <row r="40" spans="1:43" s="96" customFormat="1" ht="24" hidden="1" customHeight="1" outlineLevel="1">
      <c r="A40" s="42">
        <v>4510</v>
      </c>
      <c r="B40" s="43" t="s">
        <v>104</v>
      </c>
      <c r="C40" s="51">
        <v>0</v>
      </c>
      <c r="D40" s="51">
        <v>0</v>
      </c>
      <c r="E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f t="shared" si="42"/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f t="shared" si="43"/>
        <v>0</v>
      </c>
    </row>
    <row r="41" spans="1:43" s="96" customFormat="1" hidden="1" outlineLevel="1">
      <c r="A41" s="42">
        <v>4512</v>
      </c>
      <c r="B41" s="43" t="s">
        <v>105</v>
      </c>
      <c r="C41" s="51">
        <v>0</v>
      </c>
      <c r="D41" s="51">
        <v>0</v>
      </c>
      <c r="E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f t="shared" si="42"/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f t="shared" si="43"/>
        <v>0</v>
      </c>
    </row>
    <row r="42" spans="1:43" s="96" customFormat="1" hidden="1" outlineLevel="1">
      <c r="A42" s="42">
        <v>4520</v>
      </c>
      <c r="B42" s="43" t="s">
        <v>106</v>
      </c>
      <c r="C42" s="51">
        <v>0</v>
      </c>
      <c r="D42" s="51">
        <v>0</v>
      </c>
      <c r="E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42"/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f t="shared" si="43"/>
        <v>0</v>
      </c>
    </row>
    <row r="43" spans="1:43" s="96" customFormat="1" hidden="1" outlineLevel="1">
      <c r="A43" s="42">
        <v>4530</v>
      </c>
      <c r="B43" s="43" t="s">
        <v>107</v>
      </c>
      <c r="C43" s="51">
        <v>0</v>
      </c>
      <c r="D43" s="51">
        <v>0</v>
      </c>
      <c r="E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f t="shared" si="42"/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f t="shared" si="43"/>
        <v>0</v>
      </c>
    </row>
    <row r="44" spans="1:43" s="96" customFormat="1" hidden="1" outlineLevel="1">
      <c r="A44" s="42">
        <v>4540</v>
      </c>
      <c r="B44" s="43" t="s">
        <v>108</v>
      </c>
      <c r="C44" s="51">
        <v>0</v>
      </c>
      <c r="D44" s="51">
        <v>0</v>
      </c>
      <c r="E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f t="shared" si="42"/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f t="shared" si="43"/>
        <v>0</v>
      </c>
    </row>
    <row r="45" spans="1:43" s="96" customFormat="1" hidden="1" outlineLevel="1">
      <c r="A45" s="42">
        <v>4550</v>
      </c>
      <c r="B45" s="43" t="s">
        <v>109</v>
      </c>
      <c r="C45" s="51">
        <v>0</v>
      </c>
      <c r="D45" s="51">
        <v>0</v>
      </c>
      <c r="E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42"/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f t="shared" si="43"/>
        <v>0</v>
      </c>
    </row>
    <row r="46" spans="1:43" s="96" customFormat="1" hidden="1" outlineLevel="1">
      <c r="A46" s="42">
        <v>4560</v>
      </c>
      <c r="B46" s="43" t="s">
        <v>110</v>
      </c>
      <c r="C46" s="51">
        <v>0</v>
      </c>
      <c r="D46" s="51">
        <v>0</v>
      </c>
      <c r="E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 t="shared" si="42"/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f t="shared" si="43"/>
        <v>0</v>
      </c>
    </row>
    <row r="47" spans="1:43" s="96" customFormat="1" hidden="1" outlineLevel="1">
      <c r="A47" s="42">
        <v>4570</v>
      </c>
      <c r="B47" s="43" t="s">
        <v>111</v>
      </c>
      <c r="C47" s="44">
        <v>0</v>
      </c>
      <c r="D47" s="44">
        <v>0</v>
      </c>
      <c r="E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f t="shared" si="42"/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f t="shared" si="43"/>
        <v>0</v>
      </c>
    </row>
    <row r="48" spans="1:43" s="96" customFormat="1" hidden="1">
      <c r="A48" s="57">
        <v>9400</v>
      </c>
      <c r="B48" s="57" t="s">
        <v>112</v>
      </c>
      <c r="C48" s="41">
        <f t="shared" ref="C48:E48" si="47">SUM(C40:C47)</f>
        <v>0</v>
      </c>
      <c r="D48" s="41">
        <f t="shared" si="47"/>
        <v>0</v>
      </c>
      <c r="E48" s="41">
        <f t="shared" si="47"/>
        <v>0</v>
      </c>
      <c r="G48" s="41">
        <f t="shared" ref="G48:R48" si="48">SUM(G40:G47)</f>
        <v>0</v>
      </c>
      <c r="H48" s="41">
        <f t="shared" si="48"/>
        <v>0</v>
      </c>
      <c r="I48" s="41">
        <f t="shared" si="48"/>
        <v>0</v>
      </c>
      <c r="J48" s="41">
        <f t="shared" si="48"/>
        <v>0</v>
      </c>
      <c r="K48" s="41">
        <f t="shared" si="48"/>
        <v>0</v>
      </c>
      <c r="L48" s="41">
        <f t="shared" si="48"/>
        <v>0</v>
      </c>
      <c r="M48" s="41">
        <f t="shared" si="48"/>
        <v>0</v>
      </c>
      <c r="N48" s="41">
        <f t="shared" si="48"/>
        <v>0</v>
      </c>
      <c r="O48" s="41">
        <f t="shared" si="48"/>
        <v>0</v>
      </c>
      <c r="P48" s="41">
        <f t="shared" si="48"/>
        <v>0</v>
      </c>
      <c r="Q48" s="41">
        <f t="shared" si="48"/>
        <v>0</v>
      </c>
      <c r="R48" s="41">
        <f t="shared" si="48"/>
        <v>0</v>
      </c>
      <c r="S48" s="41">
        <f t="shared" si="42"/>
        <v>0</v>
      </c>
      <c r="U48" s="41">
        <f t="shared" ref="U48:AF48" si="49">SUM(U40:U47)</f>
        <v>0</v>
      </c>
      <c r="V48" s="41">
        <f t="shared" si="49"/>
        <v>0</v>
      </c>
      <c r="W48" s="41">
        <f t="shared" si="49"/>
        <v>0</v>
      </c>
      <c r="X48" s="41">
        <f t="shared" si="49"/>
        <v>0</v>
      </c>
      <c r="Y48" s="41">
        <f t="shared" si="49"/>
        <v>0</v>
      </c>
      <c r="Z48" s="41">
        <f t="shared" si="49"/>
        <v>0</v>
      </c>
      <c r="AA48" s="41">
        <f t="shared" si="49"/>
        <v>0</v>
      </c>
      <c r="AB48" s="41">
        <f t="shared" si="49"/>
        <v>0</v>
      </c>
      <c r="AC48" s="41">
        <f t="shared" si="49"/>
        <v>0</v>
      </c>
      <c r="AD48" s="41">
        <f t="shared" si="49"/>
        <v>0</v>
      </c>
      <c r="AE48" s="41">
        <f t="shared" si="49"/>
        <v>0</v>
      </c>
      <c r="AF48" s="41">
        <f t="shared" si="49"/>
        <v>0</v>
      </c>
      <c r="AG48" s="41">
        <f t="shared" si="43"/>
        <v>0</v>
      </c>
    </row>
    <row r="49" spans="1:33" s="100" customFormat="1" ht="26.1" customHeight="1" outlineLevel="1">
      <c r="A49" s="42">
        <v>5000</v>
      </c>
      <c r="B49" s="43" t="s">
        <v>113</v>
      </c>
      <c r="C49" s="51">
        <v>0</v>
      </c>
      <c r="D49" s="51">
        <v>0</v>
      </c>
      <c r="E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42"/>
        <v>0</v>
      </c>
      <c r="T49" s="96"/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f t="shared" si="43"/>
        <v>0</v>
      </c>
    </row>
    <row r="50" spans="1:33" s="98" customFormat="1" outlineLevel="1">
      <c r="A50" s="42">
        <v>5050</v>
      </c>
      <c r="B50" s="43" t="s">
        <v>173</v>
      </c>
      <c r="C50" s="51">
        <v>0</v>
      </c>
      <c r="D50" s="51">
        <v>0</v>
      </c>
      <c r="E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f t="shared" si="42"/>
        <v>0</v>
      </c>
      <c r="T50" s="96"/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f t="shared" si="43"/>
        <v>0</v>
      </c>
    </row>
    <row r="51" spans="1:33" s="100" customFormat="1" outlineLevel="1">
      <c r="A51" s="42">
        <v>5100</v>
      </c>
      <c r="B51" s="43" t="s">
        <v>60</v>
      </c>
      <c r="C51" s="51">
        <v>0</v>
      </c>
      <c r="D51" s="51">
        <v>0</v>
      </c>
      <c r="E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f t="shared" si="42"/>
        <v>0</v>
      </c>
      <c r="T51" s="96"/>
      <c r="U51" s="234">
        <f>VLOOKUP($A$2,Marketing!$C$15:$AE$29,Marketing!S$16,FALSE)</f>
        <v>0</v>
      </c>
      <c r="V51" s="234">
        <f>VLOOKUP($A$2,Marketing!$C$15:$AE$29,Marketing!T$16,FALSE)</f>
        <v>0</v>
      </c>
      <c r="W51" s="234">
        <f>VLOOKUP($A$2,Marketing!$C$15:$AE$29,Marketing!U$16,FALSE)</f>
        <v>0</v>
      </c>
      <c r="X51" s="234">
        <f>VLOOKUP($A$2,Marketing!$C$15:$AE$29,Marketing!V$16,FALSE)</f>
        <v>0</v>
      </c>
      <c r="Y51" s="234">
        <f>VLOOKUP($A$2,Marketing!$C$15:$AE$29,Marketing!W$16,FALSE)</f>
        <v>0</v>
      </c>
      <c r="Z51" s="234">
        <f>VLOOKUP($A$2,Marketing!$C$15:$AE$29,Marketing!X$16,FALSE)</f>
        <v>0</v>
      </c>
      <c r="AA51" s="234">
        <f>VLOOKUP($A$2,Marketing!$C$15:$AE$29,Marketing!Y$16,FALSE)</f>
        <v>0</v>
      </c>
      <c r="AB51" s="234">
        <f>VLOOKUP($A$2,Marketing!$C$15:$AE$29,Marketing!Z$16,FALSE)</f>
        <v>0</v>
      </c>
      <c r="AC51" s="234">
        <f>VLOOKUP($A$2,Marketing!$C$15:$AE$29,Marketing!AA$16,FALSE)</f>
        <v>0</v>
      </c>
      <c r="AD51" s="234">
        <f>VLOOKUP($A$2,Marketing!$C$15:$AE$29,Marketing!AB$16,FALSE)</f>
        <v>0</v>
      </c>
      <c r="AE51" s="234">
        <f>VLOOKUP($A$2,Marketing!$C$15:$AE$29,Marketing!AC$16,FALSE)</f>
        <v>0</v>
      </c>
      <c r="AF51" s="234">
        <f>VLOOKUP($A$2,Marketing!$C$15:$AE$29,Marketing!AD$16,FALSE)</f>
        <v>0</v>
      </c>
      <c r="AG51" s="51">
        <f t="shared" si="43"/>
        <v>0</v>
      </c>
    </row>
    <row r="52" spans="1:33" s="98" customFormat="1" outlineLevel="1">
      <c r="A52" s="42">
        <v>5150</v>
      </c>
      <c r="B52" s="43" t="s">
        <v>114</v>
      </c>
      <c r="C52" s="51">
        <v>0</v>
      </c>
      <c r="D52" s="51">
        <v>0</v>
      </c>
      <c r="E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f t="shared" si="42"/>
        <v>0</v>
      </c>
      <c r="T52" s="96"/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f t="shared" si="43"/>
        <v>0</v>
      </c>
    </row>
    <row r="53" spans="1:33" s="238" customFormat="1" outlineLevel="1">
      <c r="A53" s="236">
        <v>5210</v>
      </c>
      <c r="B53" s="237" t="s">
        <v>115</v>
      </c>
      <c r="C53" s="51">
        <v>0</v>
      </c>
      <c r="D53" s="51">
        <v>0</v>
      </c>
      <c r="E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f t="shared" si="42"/>
        <v>0</v>
      </c>
      <c r="T53" s="239"/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f t="shared" si="43"/>
        <v>0</v>
      </c>
    </row>
    <row r="54" spans="1:33" s="96" customFormat="1" outlineLevel="1">
      <c r="A54" s="42">
        <v>5220</v>
      </c>
      <c r="B54" s="43" t="s">
        <v>59</v>
      </c>
      <c r="C54" s="51">
        <v>0</v>
      </c>
      <c r="D54" s="51">
        <v>0</v>
      </c>
      <c r="E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f t="shared" si="42"/>
        <v>0</v>
      </c>
      <c r="U54" s="234">
        <f>VLOOKUP($A$2,osobni!$F$31:$EQ$44,osobni!CO$3,FALSE)</f>
        <v>0</v>
      </c>
      <c r="V54" s="234">
        <f>VLOOKUP($A$2,osobni!$F$31:$EQ$44,osobni!CP$3,FALSE)</f>
        <v>0</v>
      </c>
      <c r="W54" s="234">
        <f>VLOOKUP($A$2,osobni!$F$31:$EQ$44,osobni!CQ$3,FALSE)</f>
        <v>0</v>
      </c>
      <c r="X54" s="234">
        <f>VLOOKUP($A$2,osobni!$F$31:$EQ$44,osobni!CR$3,FALSE)</f>
        <v>0</v>
      </c>
      <c r="Y54" s="234">
        <f>VLOOKUP($A$2,osobni!$F$31:$EQ$44,osobni!CS$3,FALSE)</f>
        <v>0</v>
      </c>
      <c r="Z54" s="234">
        <f>VLOOKUP($A$2,osobni!$F$31:$EQ$44,osobni!CT$3,FALSE)</f>
        <v>0</v>
      </c>
      <c r="AA54" s="234">
        <f>VLOOKUP($A$2,osobni!$F$31:$EQ$44,osobni!CU$3,FALSE)</f>
        <v>0</v>
      </c>
      <c r="AB54" s="234">
        <f>VLOOKUP($A$2,osobni!$F$31:$EQ$44,osobni!CV$3,FALSE)</f>
        <v>0</v>
      </c>
      <c r="AC54" s="234">
        <f>VLOOKUP($A$2,osobni!$F$31:$EQ$44,osobni!CW$3,FALSE)</f>
        <v>0</v>
      </c>
      <c r="AD54" s="234">
        <f>VLOOKUP($A$2,osobni!$F$31:$EQ$44,osobni!CX$3,FALSE)</f>
        <v>0</v>
      </c>
      <c r="AE54" s="234">
        <f>VLOOKUP($A$2,osobni!$F$31:$EQ$44,osobni!CY$3,FALSE)</f>
        <v>0</v>
      </c>
      <c r="AF54" s="234">
        <f>VLOOKUP($A$2,osobni!$F$31:$EQ$44,osobni!CZ$3,FALSE)</f>
        <v>0</v>
      </c>
      <c r="AG54" s="51">
        <f t="shared" si="43"/>
        <v>0</v>
      </c>
    </row>
    <row r="55" spans="1:33" s="96" customFormat="1" outlineLevel="1">
      <c r="A55" s="42">
        <v>5230</v>
      </c>
      <c r="B55" s="43" t="s">
        <v>116</v>
      </c>
      <c r="C55" s="51">
        <v>0</v>
      </c>
      <c r="D55" s="51">
        <v>0</v>
      </c>
      <c r="E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f t="shared" si="42"/>
        <v>0</v>
      </c>
      <c r="U55" s="51">
        <v>5000</v>
      </c>
      <c r="V55" s="51">
        <v>5000</v>
      </c>
      <c r="W55" s="51">
        <v>5000</v>
      </c>
      <c r="X55" s="51">
        <v>5000</v>
      </c>
      <c r="Y55" s="51">
        <v>5000</v>
      </c>
      <c r="Z55" s="51">
        <v>5000</v>
      </c>
      <c r="AA55" s="51">
        <v>5000</v>
      </c>
      <c r="AB55" s="51">
        <v>5000</v>
      </c>
      <c r="AC55" s="51">
        <v>5000</v>
      </c>
      <c r="AD55" s="51">
        <v>5000</v>
      </c>
      <c r="AE55" s="51">
        <v>5000</v>
      </c>
      <c r="AF55" s="51">
        <v>5000</v>
      </c>
      <c r="AG55" s="51">
        <f t="shared" si="43"/>
        <v>60000</v>
      </c>
    </row>
    <row r="56" spans="1:33" s="96" customFormat="1" outlineLevel="1">
      <c r="A56" s="42">
        <v>5240</v>
      </c>
      <c r="B56" s="43" t="s">
        <v>117</v>
      </c>
      <c r="C56" s="51">
        <v>0</v>
      </c>
      <c r="D56" s="51">
        <v>0</v>
      </c>
      <c r="E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f t="shared" si="42"/>
        <v>0</v>
      </c>
      <c r="U56" s="234">
        <f>VLOOKUP($A$2,auta!$F$12:$EM$34,auta!EA$11,FALSE)</f>
        <v>0</v>
      </c>
      <c r="V56" s="234">
        <f>VLOOKUP($A$2,auta!$F$12:$EM$34,auta!EB$11,FALSE)</f>
        <v>0</v>
      </c>
      <c r="W56" s="234">
        <f>VLOOKUP($A$2,auta!$F$12:$EM$34,auta!EC$11,FALSE)</f>
        <v>0</v>
      </c>
      <c r="X56" s="234">
        <f>VLOOKUP($A$2,auta!$F$12:$EM$34,auta!ED$11,FALSE)</f>
        <v>0</v>
      </c>
      <c r="Y56" s="234">
        <f>VLOOKUP($A$2,auta!$F$12:$EM$34,auta!EE$11,FALSE)</f>
        <v>0</v>
      </c>
      <c r="Z56" s="234">
        <f>VLOOKUP($A$2,auta!$F$12:$EM$34,auta!EF$11,FALSE)</f>
        <v>0</v>
      </c>
      <c r="AA56" s="234">
        <f>VLOOKUP($A$2,auta!$F$12:$EM$34,auta!EG$11,FALSE)</f>
        <v>0</v>
      </c>
      <c r="AB56" s="234">
        <f>VLOOKUP($A$2,auta!$F$12:$EM$34,auta!EH$11,FALSE)</f>
        <v>0</v>
      </c>
      <c r="AC56" s="234">
        <f>VLOOKUP($A$2,auta!$F$12:$EM$34,auta!EI$11,FALSE)</f>
        <v>0</v>
      </c>
      <c r="AD56" s="234">
        <f>VLOOKUP($A$2,auta!$F$12:$EM$34,auta!EJ$11,FALSE)</f>
        <v>0</v>
      </c>
      <c r="AE56" s="234">
        <f>VLOOKUP($A$2,auta!$F$12:$EM$34,auta!EK$11,FALSE)</f>
        <v>0</v>
      </c>
      <c r="AF56" s="234">
        <f>VLOOKUP($A$2,auta!$F$12:$EM$34,auta!EL$11,FALSE)</f>
        <v>0</v>
      </c>
      <c r="AG56" s="51">
        <f t="shared" si="43"/>
        <v>0</v>
      </c>
    </row>
    <row r="57" spans="1:33" s="96" customFormat="1" outlineLevel="1">
      <c r="A57" s="42">
        <v>5300</v>
      </c>
      <c r="B57" s="43" t="s">
        <v>15</v>
      </c>
      <c r="C57" s="51">
        <v>0</v>
      </c>
      <c r="D57" s="51">
        <v>0</v>
      </c>
      <c r="E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42"/>
        <v>0</v>
      </c>
      <c r="U57" s="234">
        <f>VLOOKUP($A$2,'odb. sluzby'!$C$15:$AE$29,'odb. sluzby'!S$15,FALSE)</f>
        <v>0</v>
      </c>
      <c r="V57" s="234">
        <f>VLOOKUP($A$2,'odb. sluzby'!$C$15:$AE$29,'odb. sluzby'!T$15,FALSE)</f>
        <v>0</v>
      </c>
      <c r="W57" s="234">
        <f>VLOOKUP($A$2,'odb. sluzby'!$C$15:$AE$29,'odb. sluzby'!U$15,FALSE)</f>
        <v>0</v>
      </c>
      <c r="X57" s="234">
        <f>VLOOKUP($A$2,'odb. sluzby'!$C$15:$AE$29,'odb. sluzby'!V$15,FALSE)</f>
        <v>0</v>
      </c>
      <c r="Y57" s="234">
        <f>VLOOKUP($A$2,'odb. sluzby'!$C$15:$AE$29,'odb. sluzby'!W$15,FALSE)</f>
        <v>0</v>
      </c>
      <c r="Z57" s="234">
        <f>VLOOKUP($A$2,'odb. sluzby'!$C$15:$AE$29,'odb. sluzby'!X$15,FALSE)</f>
        <v>0</v>
      </c>
      <c r="AA57" s="234">
        <f>VLOOKUP($A$2,'odb. sluzby'!$C$15:$AE$29,'odb. sluzby'!Y$15,FALSE)</f>
        <v>0</v>
      </c>
      <c r="AB57" s="234">
        <f>VLOOKUP($A$2,'odb. sluzby'!$C$15:$AE$29,'odb. sluzby'!Z$15,FALSE)</f>
        <v>0</v>
      </c>
      <c r="AC57" s="234">
        <f>VLOOKUP($A$2,'odb. sluzby'!$C$15:$AE$29,'odb. sluzby'!AA$15,FALSE)</f>
        <v>0</v>
      </c>
      <c r="AD57" s="234">
        <f>VLOOKUP($A$2,'odb. sluzby'!$C$15:$AE$29,'odb. sluzby'!AB$15,FALSE)</f>
        <v>0</v>
      </c>
      <c r="AE57" s="234">
        <f>VLOOKUP($A$2,'odb. sluzby'!$C$15:$AE$29,'odb. sluzby'!AC$15,FALSE)</f>
        <v>0</v>
      </c>
      <c r="AF57" s="234">
        <f>VLOOKUP($A$2,'odb. sluzby'!$C$15:$AE$29,'odb. sluzby'!AD$15,FALSE)</f>
        <v>0</v>
      </c>
      <c r="AG57" s="51">
        <f t="shared" si="43"/>
        <v>0</v>
      </c>
    </row>
    <row r="58" spans="1:33" s="98" customFormat="1" outlineLevel="1">
      <c r="A58" s="42">
        <v>5400</v>
      </c>
      <c r="B58" s="43" t="s">
        <v>118</v>
      </c>
      <c r="C58" s="51">
        <v>0</v>
      </c>
      <c r="D58" s="51">
        <v>0</v>
      </c>
      <c r="E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f t="shared" si="42"/>
        <v>0</v>
      </c>
      <c r="T58" s="96"/>
      <c r="U58" s="234">
        <f>VLOOKUP($A$2,IT!$C$15:$AE$29,IT!S$16,FALSE)</f>
        <v>0</v>
      </c>
      <c r="V58" s="234">
        <f>VLOOKUP($A$2,IT!$C$15:$AE$29,IT!T$16,FALSE)</f>
        <v>0</v>
      </c>
      <c r="W58" s="234">
        <f>VLOOKUP($A$2,IT!$C$15:$AE$29,IT!U$16,FALSE)</f>
        <v>0</v>
      </c>
      <c r="X58" s="234">
        <f>VLOOKUP($A$2,IT!$C$15:$AE$29,IT!V$16,FALSE)</f>
        <v>0</v>
      </c>
      <c r="Y58" s="234">
        <f>VLOOKUP($A$2,IT!$C$15:$AE$29,IT!W$16,FALSE)</f>
        <v>0</v>
      </c>
      <c r="Z58" s="234">
        <f>VLOOKUP($A$2,IT!$C$15:$AE$29,IT!X$16,FALSE)</f>
        <v>0</v>
      </c>
      <c r="AA58" s="234">
        <f>VLOOKUP($A$2,IT!$C$15:$AE$29,IT!Y$16,FALSE)</f>
        <v>0</v>
      </c>
      <c r="AB58" s="234">
        <f>VLOOKUP($A$2,IT!$C$15:$AE$29,IT!Z$16,FALSE)</f>
        <v>0</v>
      </c>
      <c r="AC58" s="234">
        <f>VLOOKUP($A$2,IT!$C$15:$AE$29,IT!AA$16,FALSE)</f>
        <v>0</v>
      </c>
      <c r="AD58" s="234">
        <f>VLOOKUP($A$2,IT!$C$15:$AE$29,IT!AB$16,FALSE)</f>
        <v>0</v>
      </c>
      <c r="AE58" s="234">
        <f>VLOOKUP($A$2,IT!$C$15:$AE$29,IT!AC$16,FALSE)</f>
        <v>0</v>
      </c>
      <c r="AF58" s="234">
        <f>VLOOKUP($A$2,IT!$C$15:$AE$29,IT!AD$16,FALSE)</f>
        <v>0</v>
      </c>
      <c r="AG58" s="51">
        <f t="shared" ref="AG58" si="50">SUM(U58:AF58)</f>
        <v>0</v>
      </c>
    </row>
    <row r="59" spans="1:33" s="98" customFormat="1" outlineLevel="1">
      <c r="A59" s="42">
        <v>5600</v>
      </c>
      <c r="B59" s="43" t="s">
        <v>119</v>
      </c>
      <c r="C59" s="51">
        <v>0</v>
      </c>
      <c r="D59" s="51">
        <v>0</v>
      </c>
      <c r="E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f t="shared" si="42"/>
        <v>0</v>
      </c>
      <c r="T59" s="96"/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f t="shared" si="43"/>
        <v>0</v>
      </c>
    </row>
    <row r="60" spans="1:33" s="96" customFormat="1" outlineLevel="1">
      <c r="A60" s="42">
        <v>5800</v>
      </c>
      <c r="B60" s="43" t="s">
        <v>120</v>
      </c>
      <c r="C60" s="44">
        <v>0</v>
      </c>
      <c r="D60" s="44">
        <v>0</v>
      </c>
      <c r="E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f t="shared" si="42"/>
        <v>0</v>
      </c>
      <c r="U60" s="235">
        <f>VLOOKUP($A$2,osobni!$F$31:$EQ$44,osobni!DC$3,FALSE)</f>
        <v>0</v>
      </c>
      <c r="V60" s="235">
        <f>VLOOKUP($A$2,osobni!$F$31:$EQ$44,osobni!DD$3,FALSE)</f>
        <v>0</v>
      </c>
      <c r="W60" s="235">
        <f>VLOOKUP($A$2,osobni!$F$31:$EQ$44,osobni!DE$3,FALSE)</f>
        <v>0</v>
      </c>
      <c r="X60" s="235">
        <f>VLOOKUP($A$2,osobni!$F$31:$EQ$44,osobni!DF$3,FALSE)</f>
        <v>0</v>
      </c>
      <c r="Y60" s="235">
        <f>VLOOKUP($A$2,osobni!$F$31:$EQ$44,osobni!DG$3,FALSE)</f>
        <v>0</v>
      </c>
      <c r="Z60" s="235">
        <f>VLOOKUP($A$2,osobni!$F$31:$EQ$44,osobni!DH$3,FALSE)</f>
        <v>0</v>
      </c>
      <c r="AA60" s="235">
        <f>VLOOKUP($A$2,osobni!$F$31:$EQ$44,osobni!DI$3,FALSE)</f>
        <v>0</v>
      </c>
      <c r="AB60" s="235">
        <f>VLOOKUP($A$2,osobni!$F$31:$EQ$44,osobni!DJ$3,FALSE)</f>
        <v>0</v>
      </c>
      <c r="AC60" s="235">
        <f>VLOOKUP($A$2,osobni!$F$31:$EQ$44,osobni!DK$3,FALSE)</f>
        <v>0</v>
      </c>
      <c r="AD60" s="235">
        <f>VLOOKUP($A$2,osobni!$F$31:$EQ$44,osobni!DL$3,FALSE)</f>
        <v>0</v>
      </c>
      <c r="AE60" s="235">
        <f>VLOOKUP($A$2,osobni!$F$31:$EQ$44,osobni!DM$3,FALSE)</f>
        <v>0</v>
      </c>
      <c r="AF60" s="235">
        <f>VLOOKUP($A$2,osobni!$F$31:$EQ$44,osobni!DN$3,FALSE)</f>
        <v>0</v>
      </c>
      <c r="AG60" s="44">
        <f t="shared" si="43"/>
        <v>0</v>
      </c>
    </row>
    <row r="61" spans="1:33" s="96" customFormat="1">
      <c r="A61" s="57">
        <v>9500</v>
      </c>
      <c r="B61" s="57" t="s">
        <v>121</v>
      </c>
      <c r="C61" s="41">
        <f t="shared" ref="C61:E61" si="51">SUM(C49:C60)</f>
        <v>0</v>
      </c>
      <c r="D61" s="41">
        <f t="shared" si="51"/>
        <v>0</v>
      </c>
      <c r="E61" s="41">
        <f t="shared" si="51"/>
        <v>0</v>
      </c>
      <c r="G61" s="41">
        <f t="shared" ref="G61:R61" si="52">SUM(G49:G60)</f>
        <v>0</v>
      </c>
      <c r="H61" s="41">
        <f t="shared" si="52"/>
        <v>0</v>
      </c>
      <c r="I61" s="41">
        <f t="shared" si="52"/>
        <v>0</v>
      </c>
      <c r="J61" s="41">
        <f t="shared" si="52"/>
        <v>0</v>
      </c>
      <c r="K61" s="41">
        <f t="shared" si="52"/>
        <v>0</v>
      </c>
      <c r="L61" s="41">
        <f t="shared" si="52"/>
        <v>0</v>
      </c>
      <c r="M61" s="41">
        <f t="shared" si="52"/>
        <v>0</v>
      </c>
      <c r="N61" s="41">
        <f t="shared" si="52"/>
        <v>0</v>
      </c>
      <c r="O61" s="41">
        <f t="shared" si="52"/>
        <v>0</v>
      </c>
      <c r="P61" s="41">
        <f t="shared" si="52"/>
        <v>0</v>
      </c>
      <c r="Q61" s="41">
        <f t="shared" si="52"/>
        <v>0</v>
      </c>
      <c r="R61" s="41">
        <f t="shared" si="52"/>
        <v>0</v>
      </c>
      <c r="S61" s="41">
        <f t="shared" si="42"/>
        <v>0</v>
      </c>
      <c r="U61" s="41">
        <f t="shared" ref="U61:AF61" si="53">SUM(U49:U60)</f>
        <v>5000</v>
      </c>
      <c r="V61" s="41">
        <f t="shared" si="53"/>
        <v>5000</v>
      </c>
      <c r="W61" s="41">
        <f t="shared" si="53"/>
        <v>5000</v>
      </c>
      <c r="X61" s="41">
        <f t="shared" si="53"/>
        <v>5000</v>
      </c>
      <c r="Y61" s="41">
        <f t="shared" si="53"/>
        <v>5000</v>
      </c>
      <c r="Z61" s="41">
        <f t="shared" si="53"/>
        <v>5000</v>
      </c>
      <c r="AA61" s="41">
        <f t="shared" si="53"/>
        <v>5000</v>
      </c>
      <c r="AB61" s="41">
        <f t="shared" si="53"/>
        <v>5000</v>
      </c>
      <c r="AC61" s="41">
        <f t="shared" si="53"/>
        <v>5000</v>
      </c>
      <c r="AD61" s="41">
        <f t="shared" si="53"/>
        <v>5000</v>
      </c>
      <c r="AE61" s="41">
        <f t="shared" si="53"/>
        <v>5000</v>
      </c>
      <c r="AF61" s="41">
        <f t="shared" si="53"/>
        <v>5000</v>
      </c>
      <c r="AG61" s="41">
        <f t="shared" si="43"/>
        <v>60000</v>
      </c>
    </row>
    <row r="62" spans="1:33" s="96" customFormat="1" ht="23.1" customHeight="1">
      <c r="A62" s="42">
        <v>5910</v>
      </c>
      <c r="B62" s="58" t="s">
        <v>5</v>
      </c>
      <c r="C62" s="41">
        <v>0</v>
      </c>
      <c r="D62" s="41">
        <v>0</v>
      </c>
      <c r="E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f t="shared" si="42"/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 t="shared" si="43"/>
        <v>0</v>
      </c>
    </row>
    <row r="63" spans="1:33" s="101" customFormat="1">
      <c r="A63" s="59">
        <v>5920</v>
      </c>
      <c r="B63" s="60" t="s">
        <v>4</v>
      </c>
      <c r="C63" s="61">
        <v>0</v>
      </c>
      <c r="D63" s="61">
        <v>0</v>
      </c>
      <c r="E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f t="shared" si="42"/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f t="shared" si="43"/>
        <v>0</v>
      </c>
    </row>
    <row r="64" spans="1:33" s="96" customFormat="1">
      <c r="A64" s="59">
        <v>9600</v>
      </c>
      <c r="B64" s="62" t="s">
        <v>122</v>
      </c>
      <c r="C64" s="63">
        <f t="shared" ref="C64:E64" si="54">C27-C48-C39-C61+C63-C62</f>
        <v>0</v>
      </c>
      <c r="D64" s="63">
        <f t="shared" si="54"/>
        <v>0</v>
      </c>
      <c r="E64" s="63">
        <f t="shared" si="54"/>
        <v>0</v>
      </c>
      <c r="G64" s="63">
        <f t="shared" ref="G64:R64" si="55">G27-G48-G39-G61+G63-G62</f>
        <v>0</v>
      </c>
      <c r="H64" s="63">
        <f t="shared" si="55"/>
        <v>0</v>
      </c>
      <c r="I64" s="63">
        <f t="shared" si="55"/>
        <v>2850</v>
      </c>
      <c r="J64" s="63">
        <f t="shared" si="55"/>
        <v>12191.216</v>
      </c>
      <c r="K64" s="63">
        <f t="shared" si="55"/>
        <v>0</v>
      </c>
      <c r="L64" s="63">
        <f t="shared" si="55"/>
        <v>0</v>
      </c>
      <c r="M64" s="63">
        <f t="shared" si="55"/>
        <v>0</v>
      </c>
      <c r="N64" s="63">
        <f t="shared" si="55"/>
        <v>0</v>
      </c>
      <c r="O64" s="63">
        <f t="shared" si="55"/>
        <v>0</v>
      </c>
      <c r="P64" s="63">
        <f t="shared" si="55"/>
        <v>0</v>
      </c>
      <c r="Q64" s="63">
        <f t="shared" si="55"/>
        <v>0</v>
      </c>
      <c r="R64" s="63">
        <f t="shared" si="55"/>
        <v>0</v>
      </c>
      <c r="S64" s="63">
        <f t="shared" si="42"/>
        <v>15041.216</v>
      </c>
      <c r="U64" s="63">
        <f t="shared" ref="U64:AF64" si="56">U27-U48-U39-U61+U63-U62</f>
        <v>-5000</v>
      </c>
      <c r="V64" s="63">
        <f t="shared" si="56"/>
        <v>4045.454545454546</v>
      </c>
      <c r="W64" s="63">
        <f t="shared" si="56"/>
        <v>8568.1818181818198</v>
      </c>
      <c r="X64" s="63">
        <f t="shared" si="56"/>
        <v>17312.121212121212</v>
      </c>
      <c r="Y64" s="63">
        <f t="shared" si="56"/>
        <v>17312.121212121212</v>
      </c>
      <c r="Z64" s="63">
        <f t="shared" si="56"/>
        <v>17312.121212121212</v>
      </c>
      <c r="AA64" s="63">
        <f t="shared" si="56"/>
        <v>6156.060606060606</v>
      </c>
      <c r="AB64" s="63">
        <f t="shared" si="56"/>
        <v>6156.060606060606</v>
      </c>
      <c r="AC64" s="63">
        <f t="shared" si="56"/>
        <v>17312.121212121212</v>
      </c>
      <c r="AD64" s="63">
        <f t="shared" si="56"/>
        <v>21834.848484848488</v>
      </c>
      <c r="AE64" s="63">
        <f t="shared" si="56"/>
        <v>21834.848484848488</v>
      </c>
      <c r="AF64" s="63">
        <f t="shared" si="56"/>
        <v>6156.060606060606</v>
      </c>
      <c r="AG64" s="63">
        <f t="shared" si="43"/>
        <v>139000</v>
      </c>
    </row>
    <row r="65" spans="1:33" s="102" customFormat="1">
      <c r="A65" s="64">
        <v>9690</v>
      </c>
      <c r="B65" s="65" t="s">
        <v>123</v>
      </c>
      <c r="C65" s="66" t="e">
        <f t="shared" ref="C65:E65" si="57">C64/C10</f>
        <v>#DIV/0!</v>
      </c>
      <c r="D65" s="66" t="e">
        <f t="shared" si="57"/>
        <v>#DIV/0!</v>
      </c>
      <c r="E65" s="66" t="e">
        <f t="shared" si="57"/>
        <v>#DIV/0!</v>
      </c>
      <c r="G65" s="66" t="e">
        <f t="shared" ref="G65:S65" si="58">G64/G10</f>
        <v>#DIV/0!</v>
      </c>
      <c r="H65" s="66" t="e">
        <f t="shared" si="58"/>
        <v>#DIV/0!</v>
      </c>
      <c r="I65" s="66">
        <f t="shared" si="58"/>
        <v>1</v>
      </c>
      <c r="J65" s="66">
        <f t="shared" si="58"/>
        <v>1</v>
      </c>
      <c r="K65" s="66" t="e">
        <f t="shared" si="58"/>
        <v>#DIV/0!</v>
      </c>
      <c r="L65" s="66" t="e">
        <f t="shared" si="58"/>
        <v>#DIV/0!</v>
      </c>
      <c r="M65" s="66" t="e">
        <f t="shared" si="58"/>
        <v>#DIV/0!</v>
      </c>
      <c r="N65" s="66" t="e">
        <f t="shared" si="58"/>
        <v>#DIV/0!</v>
      </c>
      <c r="O65" s="66" t="e">
        <f t="shared" si="58"/>
        <v>#DIV/0!</v>
      </c>
      <c r="P65" s="66" t="e">
        <f t="shared" si="58"/>
        <v>#DIV/0!</v>
      </c>
      <c r="Q65" s="66" t="e">
        <f t="shared" si="58"/>
        <v>#DIV/0!</v>
      </c>
      <c r="R65" s="66" t="e">
        <f t="shared" si="58"/>
        <v>#DIV/0!</v>
      </c>
      <c r="S65" s="66">
        <f t="shared" si="58"/>
        <v>1</v>
      </c>
      <c r="U65" s="66" t="e">
        <f t="shared" ref="U65:AG65" si="59">U64/U10</f>
        <v>#DIV/0!</v>
      </c>
      <c r="V65" s="66">
        <f t="shared" si="59"/>
        <v>0.44500000000000001</v>
      </c>
      <c r="W65" s="66">
        <f t="shared" si="59"/>
        <v>0.62833333333333341</v>
      </c>
      <c r="X65" s="66">
        <f t="shared" si="59"/>
        <v>0.77202702702702708</v>
      </c>
      <c r="Y65" s="66">
        <f t="shared" si="59"/>
        <v>0.77202702702702708</v>
      </c>
      <c r="Z65" s="66">
        <f t="shared" si="59"/>
        <v>0.77202702702702708</v>
      </c>
      <c r="AA65" s="66">
        <f t="shared" si="59"/>
        <v>0.54905405405405405</v>
      </c>
      <c r="AB65" s="66">
        <f t="shared" si="59"/>
        <v>0.54905405405405405</v>
      </c>
      <c r="AC65" s="66">
        <f t="shared" si="59"/>
        <v>0.77202702702702708</v>
      </c>
      <c r="AD65" s="66">
        <f t="shared" si="59"/>
        <v>0.80960674157303381</v>
      </c>
      <c r="AE65" s="66">
        <f t="shared" si="59"/>
        <v>0.80960674157303381</v>
      </c>
      <c r="AF65" s="66">
        <f t="shared" si="59"/>
        <v>0.54905405405405405</v>
      </c>
      <c r="AG65" s="66">
        <f t="shared" si="59"/>
        <v>0.69499999999999995</v>
      </c>
    </row>
    <row r="66" spans="1:33" s="103" customFormat="1" ht="26.1" hidden="1" customHeight="1">
      <c r="A66" s="42">
        <v>6100</v>
      </c>
      <c r="B66" s="43" t="s">
        <v>12</v>
      </c>
      <c r="C66" s="67">
        <v>0</v>
      </c>
      <c r="D66" s="67">
        <v>0</v>
      </c>
      <c r="E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f>SUM(G66:R66)</f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f>SUM(U66:AF66)</f>
        <v>0</v>
      </c>
    </row>
    <row r="67" spans="1:33" s="104" customFormat="1" hidden="1">
      <c r="A67" s="59">
        <v>6200</v>
      </c>
      <c r="B67" s="68" t="s">
        <v>13</v>
      </c>
      <c r="C67" s="69">
        <v>0</v>
      </c>
      <c r="D67" s="69">
        <v>0</v>
      </c>
      <c r="E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>SUM(G67:R67)</f>
        <v>0</v>
      </c>
      <c r="T67" s="101"/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f>SUM(U67:AF67)</f>
        <v>0</v>
      </c>
    </row>
    <row r="68" spans="1:33" s="98" customFormat="1" hidden="1">
      <c r="A68" s="70">
        <v>9800</v>
      </c>
      <c r="B68" s="71" t="s">
        <v>124</v>
      </c>
      <c r="C68" s="72">
        <f t="shared" ref="C68:E68" si="60">C64-C66+C67</f>
        <v>0</v>
      </c>
      <c r="D68" s="72">
        <f t="shared" si="60"/>
        <v>0</v>
      </c>
      <c r="E68" s="72">
        <f t="shared" si="60"/>
        <v>0</v>
      </c>
      <c r="G68" s="72">
        <f t="shared" ref="G68:R68" si="61">G64-G66+G67</f>
        <v>0</v>
      </c>
      <c r="H68" s="72">
        <f t="shared" si="61"/>
        <v>0</v>
      </c>
      <c r="I68" s="72">
        <f t="shared" si="61"/>
        <v>2850</v>
      </c>
      <c r="J68" s="72">
        <f t="shared" si="61"/>
        <v>12191.216</v>
      </c>
      <c r="K68" s="72">
        <f t="shared" si="61"/>
        <v>0</v>
      </c>
      <c r="L68" s="72">
        <f t="shared" si="61"/>
        <v>0</v>
      </c>
      <c r="M68" s="72">
        <f t="shared" si="61"/>
        <v>0</v>
      </c>
      <c r="N68" s="72">
        <f t="shared" si="61"/>
        <v>0</v>
      </c>
      <c r="O68" s="72">
        <f t="shared" si="61"/>
        <v>0</v>
      </c>
      <c r="P68" s="72">
        <f t="shared" si="61"/>
        <v>0</v>
      </c>
      <c r="Q68" s="72">
        <f t="shared" si="61"/>
        <v>0</v>
      </c>
      <c r="R68" s="72">
        <f t="shared" si="61"/>
        <v>0</v>
      </c>
      <c r="S68" s="72">
        <f>SUM(G68:R68)</f>
        <v>15041.216</v>
      </c>
      <c r="T68" s="96"/>
      <c r="U68" s="72">
        <f t="shared" ref="U68:AF68" si="62">U64-U66+U67</f>
        <v>-5000</v>
      </c>
      <c r="V68" s="72">
        <f t="shared" si="62"/>
        <v>4045.454545454546</v>
      </c>
      <c r="W68" s="72">
        <f t="shared" si="62"/>
        <v>8568.1818181818198</v>
      </c>
      <c r="X68" s="72">
        <f t="shared" si="62"/>
        <v>17312.121212121212</v>
      </c>
      <c r="Y68" s="72">
        <f t="shared" si="62"/>
        <v>17312.121212121212</v>
      </c>
      <c r="Z68" s="72">
        <f t="shared" si="62"/>
        <v>17312.121212121212</v>
      </c>
      <c r="AA68" s="72">
        <f t="shared" si="62"/>
        <v>6156.060606060606</v>
      </c>
      <c r="AB68" s="72">
        <f t="shared" si="62"/>
        <v>6156.060606060606</v>
      </c>
      <c r="AC68" s="72">
        <f t="shared" si="62"/>
        <v>17312.121212121212</v>
      </c>
      <c r="AD68" s="72">
        <f t="shared" si="62"/>
        <v>21834.848484848488</v>
      </c>
      <c r="AE68" s="72">
        <f t="shared" si="62"/>
        <v>21834.848484848488</v>
      </c>
      <c r="AF68" s="72">
        <f t="shared" si="62"/>
        <v>6156.060606060606</v>
      </c>
      <c r="AG68" s="72">
        <f>SUM(U68:AF68)</f>
        <v>139000</v>
      </c>
    </row>
    <row r="69" spans="1:33" s="106" customFormat="1" ht="26.1" hidden="1" customHeight="1">
      <c r="A69" s="73">
        <v>7100</v>
      </c>
      <c r="B69" s="74" t="s">
        <v>3</v>
      </c>
      <c r="C69" s="75">
        <v>0</v>
      </c>
      <c r="D69" s="75">
        <v>0</v>
      </c>
      <c r="E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f>SUM(G69:R69)</f>
        <v>0</v>
      </c>
      <c r="T69" s="105"/>
      <c r="U69" s="75">
        <v>0</v>
      </c>
      <c r="V69" s="75">
        <v>0</v>
      </c>
      <c r="W69" s="75">
        <v>0</v>
      </c>
      <c r="X69" s="75">
        <v>0</v>
      </c>
      <c r="Y69" s="75">
        <v>0</v>
      </c>
      <c r="Z69" s="75">
        <v>0</v>
      </c>
      <c r="AA69" s="75">
        <v>0</v>
      </c>
      <c r="AB69" s="75">
        <v>0</v>
      </c>
      <c r="AC69" s="75">
        <v>0</v>
      </c>
      <c r="AD69" s="75">
        <v>0</v>
      </c>
      <c r="AE69" s="75">
        <v>0</v>
      </c>
      <c r="AF69" s="75">
        <v>0</v>
      </c>
      <c r="AG69" s="75">
        <f>SUM(U69:AF69)</f>
        <v>0</v>
      </c>
    </row>
    <row r="70" spans="1:33" s="98" customFormat="1" hidden="1">
      <c r="A70" s="76">
        <v>9900</v>
      </c>
      <c r="B70" s="77" t="s">
        <v>125</v>
      </c>
      <c r="C70" s="78">
        <f t="shared" ref="C70:E70" si="63">C68-C69</f>
        <v>0</v>
      </c>
      <c r="D70" s="78">
        <f t="shared" si="63"/>
        <v>0</v>
      </c>
      <c r="E70" s="78">
        <f t="shared" si="63"/>
        <v>0</v>
      </c>
      <c r="G70" s="78">
        <f t="shared" ref="G70:R70" si="64">G68-G69</f>
        <v>0</v>
      </c>
      <c r="H70" s="78">
        <f t="shared" si="64"/>
        <v>0</v>
      </c>
      <c r="I70" s="78">
        <f t="shared" si="64"/>
        <v>2850</v>
      </c>
      <c r="J70" s="78">
        <f t="shared" si="64"/>
        <v>12191.216</v>
      </c>
      <c r="K70" s="78">
        <f t="shared" si="64"/>
        <v>0</v>
      </c>
      <c r="L70" s="78">
        <f t="shared" si="64"/>
        <v>0</v>
      </c>
      <c r="M70" s="78">
        <f t="shared" si="64"/>
        <v>0</v>
      </c>
      <c r="N70" s="78">
        <f t="shared" si="64"/>
        <v>0</v>
      </c>
      <c r="O70" s="78">
        <f t="shared" si="64"/>
        <v>0</v>
      </c>
      <c r="P70" s="78">
        <f t="shared" si="64"/>
        <v>0</v>
      </c>
      <c r="Q70" s="78">
        <f t="shared" si="64"/>
        <v>0</v>
      </c>
      <c r="R70" s="78">
        <f t="shared" si="64"/>
        <v>0</v>
      </c>
      <c r="S70" s="78">
        <f>SUM(G70:R70)</f>
        <v>15041.216</v>
      </c>
      <c r="T70" s="96"/>
      <c r="U70" s="78">
        <f t="shared" ref="U70:AF70" si="65">U68-U69</f>
        <v>-5000</v>
      </c>
      <c r="V70" s="78">
        <f t="shared" si="65"/>
        <v>4045.454545454546</v>
      </c>
      <c r="W70" s="78">
        <f t="shared" si="65"/>
        <v>8568.1818181818198</v>
      </c>
      <c r="X70" s="78">
        <f t="shared" si="65"/>
        <v>17312.121212121212</v>
      </c>
      <c r="Y70" s="78">
        <f t="shared" si="65"/>
        <v>17312.121212121212</v>
      </c>
      <c r="Z70" s="78">
        <f t="shared" si="65"/>
        <v>17312.121212121212</v>
      </c>
      <c r="AA70" s="78">
        <f t="shared" si="65"/>
        <v>6156.060606060606</v>
      </c>
      <c r="AB70" s="78">
        <f t="shared" si="65"/>
        <v>6156.060606060606</v>
      </c>
      <c r="AC70" s="78">
        <f t="shared" si="65"/>
        <v>17312.121212121212</v>
      </c>
      <c r="AD70" s="78">
        <f t="shared" si="65"/>
        <v>21834.848484848488</v>
      </c>
      <c r="AE70" s="78">
        <f t="shared" si="65"/>
        <v>21834.848484848488</v>
      </c>
      <c r="AF70" s="78">
        <f t="shared" si="65"/>
        <v>6156.060606060606</v>
      </c>
      <c r="AG70" s="78">
        <f>SUM(U70:AF70)</f>
        <v>139000</v>
      </c>
    </row>
    <row r="71" spans="1:33" s="102" customFormat="1" ht="15.75" hidden="1" thickBot="1">
      <c r="A71" s="79">
        <v>9990</v>
      </c>
      <c r="B71" s="65" t="s">
        <v>126</v>
      </c>
      <c r="C71" s="80" t="e">
        <f t="shared" ref="C71:E71" si="66">C70/C10</f>
        <v>#DIV/0!</v>
      </c>
      <c r="D71" s="80" t="e">
        <f t="shared" si="66"/>
        <v>#DIV/0!</v>
      </c>
      <c r="E71" s="80" t="e">
        <f t="shared" si="66"/>
        <v>#DIV/0!</v>
      </c>
      <c r="G71" s="80" t="e">
        <f t="shared" ref="G71:S71" si="67">G70/G10</f>
        <v>#DIV/0!</v>
      </c>
      <c r="H71" s="80" t="e">
        <f t="shared" si="67"/>
        <v>#DIV/0!</v>
      </c>
      <c r="I71" s="80">
        <f t="shared" si="67"/>
        <v>1</v>
      </c>
      <c r="J71" s="80">
        <f t="shared" si="67"/>
        <v>1</v>
      </c>
      <c r="K71" s="80" t="e">
        <f t="shared" si="67"/>
        <v>#DIV/0!</v>
      </c>
      <c r="L71" s="80" t="e">
        <f t="shared" si="67"/>
        <v>#DIV/0!</v>
      </c>
      <c r="M71" s="80" t="e">
        <f t="shared" si="67"/>
        <v>#DIV/0!</v>
      </c>
      <c r="N71" s="80" t="e">
        <f t="shared" si="67"/>
        <v>#DIV/0!</v>
      </c>
      <c r="O71" s="80" t="e">
        <f t="shared" si="67"/>
        <v>#DIV/0!</v>
      </c>
      <c r="P71" s="80" t="e">
        <f t="shared" si="67"/>
        <v>#DIV/0!</v>
      </c>
      <c r="Q71" s="80" t="e">
        <f t="shared" si="67"/>
        <v>#DIV/0!</v>
      </c>
      <c r="R71" s="80" t="e">
        <f t="shared" si="67"/>
        <v>#DIV/0!</v>
      </c>
      <c r="S71" s="80">
        <f t="shared" si="67"/>
        <v>1</v>
      </c>
      <c r="U71" s="80" t="e">
        <f t="shared" ref="U71:AG71" si="68">U70/U10</f>
        <v>#DIV/0!</v>
      </c>
      <c r="V71" s="80">
        <f t="shared" si="68"/>
        <v>0.44500000000000001</v>
      </c>
      <c r="W71" s="80">
        <f t="shared" si="68"/>
        <v>0.62833333333333341</v>
      </c>
      <c r="X71" s="80">
        <f t="shared" si="68"/>
        <v>0.77202702702702708</v>
      </c>
      <c r="Y71" s="80">
        <f t="shared" si="68"/>
        <v>0.77202702702702708</v>
      </c>
      <c r="Z71" s="80">
        <f t="shared" si="68"/>
        <v>0.77202702702702708</v>
      </c>
      <c r="AA71" s="80">
        <f t="shared" si="68"/>
        <v>0.54905405405405405</v>
      </c>
      <c r="AB71" s="80">
        <f t="shared" si="68"/>
        <v>0.54905405405405405</v>
      </c>
      <c r="AC71" s="80">
        <f t="shared" si="68"/>
        <v>0.77202702702702708</v>
      </c>
      <c r="AD71" s="80">
        <f t="shared" si="68"/>
        <v>0.80960674157303381</v>
      </c>
      <c r="AE71" s="80">
        <f t="shared" si="68"/>
        <v>0.80960674157303381</v>
      </c>
      <c r="AF71" s="80">
        <f t="shared" si="68"/>
        <v>0.54905405405405405</v>
      </c>
      <c r="AG71" s="80">
        <f t="shared" si="68"/>
        <v>0.69499999999999995</v>
      </c>
    </row>
    <row r="72" spans="1:33" s="100" customFormat="1">
      <c r="A72" s="45"/>
      <c r="B72" s="45"/>
      <c r="C72" s="45"/>
      <c r="D72" s="45"/>
      <c r="E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96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s="103" customFormat="1">
      <c r="A73" s="42">
        <v>9650</v>
      </c>
      <c r="B73" s="81" t="s">
        <v>127</v>
      </c>
      <c r="C73" s="75">
        <v>0</v>
      </c>
      <c r="D73" s="75">
        <v>0</v>
      </c>
      <c r="E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f>SUM(G73:R73)</f>
        <v>0</v>
      </c>
      <c r="T73" s="105"/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75">
        <v>0</v>
      </c>
      <c r="AG73" s="75">
        <f>SUM(U73:AF73)</f>
        <v>0</v>
      </c>
    </row>
    <row r="74" spans="1:33" s="108" customFormat="1">
      <c r="A74" s="82">
        <v>9700</v>
      </c>
      <c r="B74" s="83" t="s">
        <v>128</v>
      </c>
      <c r="C74" s="84">
        <f t="shared" ref="C74:E74" si="69">C64+C73</f>
        <v>0</v>
      </c>
      <c r="D74" s="84">
        <f t="shared" si="69"/>
        <v>0</v>
      </c>
      <c r="E74" s="84">
        <f t="shared" si="69"/>
        <v>0</v>
      </c>
      <c r="G74" s="84">
        <f t="shared" ref="G74:R74" si="70">G64+G73</f>
        <v>0</v>
      </c>
      <c r="H74" s="84">
        <f t="shared" si="70"/>
        <v>0</v>
      </c>
      <c r="I74" s="84">
        <f t="shared" si="70"/>
        <v>2850</v>
      </c>
      <c r="J74" s="84">
        <f t="shared" si="70"/>
        <v>12191.216</v>
      </c>
      <c r="K74" s="84">
        <f t="shared" si="70"/>
        <v>0</v>
      </c>
      <c r="L74" s="84">
        <f t="shared" si="70"/>
        <v>0</v>
      </c>
      <c r="M74" s="84">
        <f t="shared" si="70"/>
        <v>0</v>
      </c>
      <c r="N74" s="84">
        <f t="shared" si="70"/>
        <v>0</v>
      </c>
      <c r="O74" s="84">
        <f t="shared" si="70"/>
        <v>0</v>
      </c>
      <c r="P74" s="84">
        <f t="shared" si="70"/>
        <v>0</v>
      </c>
      <c r="Q74" s="84">
        <f t="shared" si="70"/>
        <v>0</v>
      </c>
      <c r="R74" s="84">
        <f t="shared" si="70"/>
        <v>0</v>
      </c>
      <c r="S74" s="84">
        <f>SUM(G74:R74)</f>
        <v>15041.216</v>
      </c>
      <c r="U74" s="84">
        <f t="shared" ref="U74:AF74" si="71">U64+U73</f>
        <v>-5000</v>
      </c>
      <c r="V74" s="84">
        <f t="shared" si="71"/>
        <v>4045.454545454546</v>
      </c>
      <c r="W74" s="84">
        <f t="shared" si="71"/>
        <v>8568.1818181818198</v>
      </c>
      <c r="X74" s="84">
        <f t="shared" si="71"/>
        <v>17312.121212121212</v>
      </c>
      <c r="Y74" s="84">
        <f t="shared" si="71"/>
        <v>17312.121212121212</v>
      </c>
      <c r="Z74" s="84">
        <f t="shared" si="71"/>
        <v>17312.121212121212</v>
      </c>
      <c r="AA74" s="84">
        <f t="shared" si="71"/>
        <v>6156.060606060606</v>
      </c>
      <c r="AB74" s="84">
        <f t="shared" si="71"/>
        <v>6156.060606060606</v>
      </c>
      <c r="AC74" s="84">
        <f t="shared" si="71"/>
        <v>17312.121212121212</v>
      </c>
      <c r="AD74" s="84">
        <f t="shared" si="71"/>
        <v>21834.848484848488</v>
      </c>
      <c r="AE74" s="84">
        <f t="shared" si="71"/>
        <v>21834.848484848488</v>
      </c>
      <c r="AF74" s="84">
        <f t="shared" si="71"/>
        <v>6156.060606060606</v>
      </c>
      <c r="AG74" s="84">
        <f>SUM(U74:AF74)</f>
        <v>139000</v>
      </c>
    </row>
    <row r="75" spans="1:33" s="110" customFormat="1">
      <c r="A75" s="85">
        <v>9790</v>
      </c>
      <c r="B75" s="86" t="s">
        <v>129</v>
      </c>
      <c r="C75" s="56" t="e">
        <f t="shared" ref="C75:E75" si="72">C74/C10</f>
        <v>#DIV/0!</v>
      </c>
      <c r="D75" s="56" t="e">
        <f t="shared" si="72"/>
        <v>#DIV/0!</v>
      </c>
      <c r="E75" s="56" t="e">
        <f t="shared" si="72"/>
        <v>#DIV/0!</v>
      </c>
      <c r="G75" s="56" t="e">
        <f t="shared" ref="G75:S75" si="73">G74/G10</f>
        <v>#DIV/0!</v>
      </c>
      <c r="H75" s="56" t="e">
        <f t="shared" si="73"/>
        <v>#DIV/0!</v>
      </c>
      <c r="I75" s="56">
        <f t="shared" si="73"/>
        <v>1</v>
      </c>
      <c r="J75" s="56">
        <f t="shared" si="73"/>
        <v>1</v>
      </c>
      <c r="K75" s="56" t="e">
        <f t="shared" si="73"/>
        <v>#DIV/0!</v>
      </c>
      <c r="L75" s="56" t="e">
        <f t="shared" si="73"/>
        <v>#DIV/0!</v>
      </c>
      <c r="M75" s="56" t="e">
        <f t="shared" si="73"/>
        <v>#DIV/0!</v>
      </c>
      <c r="N75" s="56" t="e">
        <f t="shared" si="73"/>
        <v>#DIV/0!</v>
      </c>
      <c r="O75" s="56" t="e">
        <f t="shared" si="73"/>
        <v>#DIV/0!</v>
      </c>
      <c r="P75" s="56" t="e">
        <f t="shared" si="73"/>
        <v>#DIV/0!</v>
      </c>
      <c r="Q75" s="56" t="e">
        <f t="shared" si="73"/>
        <v>#DIV/0!</v>
      </c>
      <c r="R75" s="56" t="e">
        <f t="shared" si="73"/>
        <v>#DIV/0!</v>
      </c>
      <c r="S75" s="56">
        <f t="shared" si="73"/>
        <v>1</v>
      </c>
      <c r="T75" s="109"/>
      <c r="U75" s="56" t="e">
        <f t="shared" ref="U75:AG75" si="74">U74/U10</f>
        <v>#DIV/0!</v>
      </c>
      <c r="V75" s="56">
        <f t="shared" si="74"/>
        <v>0.44500000000000001</v>
      </c>
      <c r="W75" s="56">
        <f t="shared" si="74"/>
        <v>0.62833333333333341</v>
      </c>
      <c r="X75" s="56">
        <f t="shared" si="74"/>
        <v>0.77202702702702708</v>
      </c>
      <c r="Y75" s="56">
        <f t="shared" si="74"/>
        <v>0.77202702702702708</v>
      </c>
      <c r="Z75" s="56">
        <f t="shared" si="74"/>
        <v>0.77202702702702708</v>
      </c>
      <c r="AA75" s="56">
        <f t="shared" si="74"/>
        <v>0.54905405405405405</v>
      </c>
      <c r="AB75" s="56">
        <f t="shared" si="74"/>
        <v>0.54905405405405405</v>
      </c>
      <c r="AC75" s="56">
        <f t="shared" si="74"/>
        <v>0.77202702702702708</v>
      </c>
      <c r="AD75" s="56">
        <f t="shared" si="74"/>
        <v>0.80960674157303381</v>
      </c>
      <c r="AE75" s="56">
        <f t="shared" si="74"/>
        <v>0.80960674157303381</v>
      </c>
      <c r="AF75" s="56">
        <f t="shared" si="74"/>
        <v>0.54905405405405405</v>
      </c>
      <c r="AG75" s="56">
        <f t="shared" si="74"/>
        <v>0.69499999999999995</v>
      </c>
    </row>
    <row r="76" spans="1:33">
      <c r="C76" s="111">
        <v>0.19659571563606479</v>
      </c>
      <c r="D76" s="111">
        <v>0.2027954116801734</v>
      </c>
      <c r="E76" s="111">
        <v>0.20809003662382283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24"/>
  <sheetViews>
    <sheetView showGridLines="0" zoomScale="125" zoomScaleNormal="125" zoomScalePageLayoutView="125" workbookViewId="0">
      <pane xSplit="2" ySplit="2" topLeftCell="C3" activePane="bottomRight" state="frozen"/>
      <selection activeCell="BM36" sqref="BM36"/>
      <selection pane="topRight" activeCell="BM36" sqref="BM36"/>
      <selection pane="bottomLeft" activeCell="BM36" sqref="BM36"/>
      <selection pane="bottomRight" activeCell="BM36" sqref="BM36"/>
    </sheetView>
  </sheetViews>
  <sheetFormatPr defaultColWidth="11.42578125" defaultRowHeight="12.75"/>
  <sheetData>
    <row r="14" collapsed="1"/>
    <row r="24" collapsed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94"/>
  <sheetViews>
    <sheetView showGridLines="0" zoomScale="150" zoomScaleNormal="150" zoomScalePageLayoutView="150" workbookViewId="0">
      <selection activeCell="A30" sqref="A30:XFD30"/>
    </sheetView>
  </sheetViews>
  <sheetFormatPr defaultColWidth="10.7109375" defaultRowHeight="14.25"/>
  <cols>
    <col min="1" max="1" width="10.85546875" style="226" customWidth="1"/>
    <col min="2" max="2" width="24.7109375" style="226" customWidth="1"/>
    <col min="3" max="3" width="8" style="226" customWidth="1"/>
    <col min="4" max="4" width="19.85546875" style="226" bestFit="1" customWidth="1"/>
    <col min="5" max="5" width="16.7109375" style="220" customWidth="1"/>
    <col min="6" max="6" width="26.140625" style="220" bestFit="1" customWidth="1"/>
    <col min="7" max="7" width="27.7109375" style="221" bestFit="1" customWidth="1"/>
    <col min="8" max="8" width="4.140625" style="221" bestFit="1" customWidth="1"/>
    <col min="9" max="9" width="21.140625" style="220" bestFit="1" customWidth="1"/>
    <col min="10" max="11" width="10.7109375" style="220"/>
    <col min="12" max="12" width="43.140625" style="220" customWidth="1"/>
    <col min="13" max="16384" width="10.7109375" style="220"/>
  </cols>
  <sheetData>
    <row r="1" spans="1:8" ht="42.75">
      <c r="A1" s="216" t="s">
        <v>138</v>
      </c>
      <c r="B1" s="217" t="s">
        <v>139</v>
      </c>
      <c r="C1" s="218" t="s">
        <v>202</v>
      </c>
      <c r="D1" s="219" t="s">
        <v>203</v>
      </c>
      <c r="H1" s="220"/>
    </row>
    <row r="2" spans="1:8">
      <c r="A2" s="222">
        <v>1100</v>
      </c>
      <c r="B2" s="223" t="s">
        <v>149</v>
      </c>
      <c r="C2" s="222">
        <v>1000</v>
      </c>
      <c r="D2" s="223" t="s">
        <v>149</v>
      </c>
      <c r="E2" s="220">
        <f>A2</f>
        <v>1100</v>
      </c>
      <c r="H2" s="220"/>
    </row>
    <row r="3" spans="1:8">
      <c r="A3" s="222">
        <v>1200</v>
      </c>
      <c r="B3" s="223" t="s">
        <v>75</v>
      </c>
      <c r="C3" s="222">
        <v>1000</v>
      </c>
      <c r="D3" s="223" t="s">
        <v>149</v>
      </c>
      <c r="E3" s="220">
        <f t="shared" ref="E3:E29" si="0">A3</f>
        <v>1200</v>
      </c>
      <c r="H3" s="220"/>
    </row>
    <row r="4" spans="1:8">
      <c r="A4" s="222">
        <v>2200</v>
      </c>
      <c r="B4" s="223" t="s">
        <v>457</v>
      </c>
      <c r="C4" s="222">
        <v>2000</v>
      </c>
      <c r="D4" s="223" t="s">
        <v>134</v>
      </c>
      <c r="E4" s="220">
        <f t="shared" si="0"/>
        <v>2200</v>
      </c>
      <c r="H4" s="220"/>
    </row>
    <row r="5" spans="1:8">
      <c r="A5" s="222">
        <v>3100</v>
      </c>
      <c r="B5" s="223" t="s">
        <v>63</v>
      </c>
      <c r="C5" s="222">
        <v>3000</v>
      </c>
      <c r="D5" s="223" t="s">
        <v>63</v>
      </c>
      <c r="E5" s="220">
        <f t="shared" si="0"/>
        <v>3100</v>
      </c>
      <c r="H5" s="220"/>
    </row>
    <row r="6" spans="1:8">
      <c r="A6" s="308"/>
      <c r="B6" s="309" t="s">
        <v>143</v>
      </c>
      <c r="C6" s="308">
        <v>3000</v>
      </c>
      <c r="D6" s="309" t="s">
        <v>63</v>
      </c>
      <c r="E6" s="220">
        <f t="shared" si="0"/>
        <v>0</v>
      </c>
      <c r="F6" s="220" t="s">
        <v>247</v>
      </c>
      <c r="H6" s="220"/>
    </row>
    <row r="7" spans="1:8">
      <c r="A7" s="308"/>
      <c r="B7" s="309" t="s">
        <v>204</v>
      </c>
      <c r="C7" s="308">
        <v>3000</v>
      </c>
      <c r="D7" s="309" t="s">
        <v>63</v>
      </c>
      <c r="E7" s="220">
        <f t="shared" si="0"/>
        <v>0</v>
      </c>
      <c r="F7" s="220" t="s">
        <v>247</v>
      </c>
      <c r="H7" s="220"/>
    </row>
    <row r="8" spans="1:8">
      <c r="A8" s="308"/>
      <c r="B8" s="309" t="s">
        <v>118</v>
      </c>
      <c r="C8" s="308">
        <v>3000</v>
      </c>
      <c r="D8" s="309" t="s">
        <v>63</v>
      </c>
      <c r="E8" s="220">
        <f t="shared" si="0"/>
        <v>0</v>
      </c>
      <c r="F8" s="220" t="s">
        <v>247</v>
      </c>
      <c r="H8" s="220"/>
    </row>
    <row r="9" spans="1:8">
      <c r="A9" s="222">
        <v>4100</v>
      </c>
      <c r="B9" s="223" t="s">
        <v>54</v>
      </c>
      <c r="C9" s="222">
        <v>4000</v>
      </c>
      <c r="D9" s="223" t="s">
        <v>54</v>
      </c>
      <c r="E9" s="220">
        <f t="shared" si="0"/>
        <v>4100</v>
      </c>
      <c r="F9" s="224"/>
      <c r="G9" s="225"/>
      <c r="H9" s="220"/>
    </row>
    <row r="10" spans="1:8">
      <c r="A10" s="308"/>
      <c r="B10" s="309" t="s">
        <v>71</v>
      </c>
      <c r="C10" s="308">
        <v>4000</v>
      </c>
      <c r="D10" s="309" t="s">
        <v>54</v>
      </c>
      <c r="E10" s="220">
        <f t="shared" si="0"/>
        <v>0</v>
      </c>
      <c r="F10" s="220" t="s">
        <v>247</v>
      </c>
      <c r="H10" s="220"/>
    </row>
    <row r="11" spans="1:8">
      <c r="A11" s="308"/>
      <c r="B11" s="309" t="s">
        <v>205</v>
      </c>
      <c r="C11" s="308">
        <v>4000</v>
      </c>
      <c r="D11" s="309" t="s">
        <v>54</v>
      </c>
      <c r="E11" s="220">
        <f t="shared" si="0"/>
        <v>0</v>
      </c>
      <c r="F11" s="220" t="s">
        <v>247</v>
      </c>
      <c r="H11" s="220"/>
    </row>
    <row r="12" spans="1:8">
      <c r="A12" s="308"/>
      <c r="B12" s="309" t="s">
        <v>60</v>
      </c>
      <c r="C12" s="308">
        <v>4000</v>
      </c>
      <c r="D12" s="309" t="s">
        <v>54</v>
      </c>
      <c r="E12" s="220">
        <f t="shared" si="0"/>
        <v>0</v>
      </c>
      <c r="F12" s="220" t="s">
        <v>247</v>
      </c>
      <c r="H12" s="220"/>
    </row>
    <row r="13" spans="1:8">
      <c r="A13" s="222">
        <v>5100</v>
      </c>
      <c r="B13" s="223" t="s">
        <v>64</v>
      </c>
      <c r="C13" s="222">
        <v>5000</v>
      </c>
      <c r="D13" s="223" t="s">
        <v>64</v>
      </c>
      <c r="E13" s="220">
        <f t="shared" si="0"/>
        <v>5100</v>
      </c>
      <c r="F13" s="224"/>
      <c r="G13" s="225"/>
      <c r="H13" s="220"/>
    </row>
    <row r="14" spans="1:8">
      <c r="A14" s="308"/>
      <c r="B14" s="309" t="s">
        <v>206</v>
      </c>
      <c r="C14" s="308">
        <v>5000</v>
      </c>
      <c r="D14" s="309" t="s">
        <v>64</v>
      </c>
      <c r="E14" s="220">
        <f t="shared" si="0"/>
        <v>0</v>
      </c>
      <c r="F14" s="220" t="s">
        <v>247</v>
      </c>
      <c r="H14" s="220"/>
    </row>
    <row r="15" spans="1:8">
      <c r="A15" s="308"/>
      <c r="B15" s="309" t="s">
        <v>207</v>
      </c>
      <c r="C15" s="308">
        <v>5000</v>
      </c>
      <c r="D15" s="309" t="s">
        <v>64</v>
      </c>
      <c r="E15" s="220">
        <f t="shared" si="0"/>
        <v>0</v>
      </c>
      <c r="F15" s="220" t="s">
        <v>247</v>
      </c>
      <c r="H15" s="220"/>
    </row>
    <row r="16" spans="1:8">
      <c r="A16" s="222">
        <v>6100</v>
      </c>
      <c r="B16" s="223" t="s">
        <v>65</v>
      </c>
      <c r="C16" s="222">
        <v>6000</v>
      </c>
      <c r="D16" s="223" t="s">
        <v>65</v>
      </c>
      <c r="E16" s="220">
        <f t="shared" si="0"/>
        <v>6100</v>
      </c>
      <c r="F16" s="224"/>
      <c r="G16" s="225"/>
      <c r="H16" s="220"/>
    </row>
    <row r="17" spans="1:8">
      <c r="A17" s="308">
        <v>6200</v>
      </c>
      <c r="B17" s="309" t="s">
        <v>66</v>
      </c>
      <c r="C17" s="308">
        <v>6000</v>
      </c>
      <c r="D17" s="309" t="s">
        <v>65</v>
      </c>
      <c r="E17" s="220">
        <f t="shared" si="0"/>
        <v>6200</v>
      </c>
      <c r="F17" s="220" t="s">
        <v>247</v>
      </c>
      <c r="H17" s="220"/>
    </row>
    <row r="18" spans="1:8">
      <c r="A18" s="308">
        <v>6300</v>
      </c>
      <c r="B18" s="309" t="s">
        <v>67</v>
      </c>
      <c r="C18" s="308">
        <v>6000</v>
      </c>
      <c r="D18" s="309" t="s">
        <v>65</v>
      </c>
      <c r="E18" s="220">
        <f t="shared" si="0"/>
        <v>6300</v>
      </c>
      <c r="F18" s="220" t="s">
        <v>247</v>
      </c>
      <c r="H18" s="220"/>
    </row>
    <row r="19" spans="1:8">
      <c r="A19" s="308">
        <v>6400</v>
      </c>
      <c r="B19" s="309" t="s">
        <v>68</v>
      </c>
      <c r="C19" s="308">
        <v>6000</v>
      </c>
      <c r="D19" s="309" t="s">
        <v>65</v>
      </c>
      <c r="E19" s="220">
        <f t="shared" si="0"/>
        <v>6400</v>
      </c>
      <c r="F19" s="220" t="s">
        <v>247</v>
      </c>
      <c r="H19" s="220"/>
    </row>
    <row r="20" spans="1:8">
      <c r="A20" s="308">
        <v>6500</v>
      </c>
      <c r="B20" s="309" t="s">
        <v>69</v>
      </c>
      <c r="C20" s="308">
        <v>6000</v>
      </c>
      <c r="D20" s="309" t="s">
        <v>65</v>
      </c>
      <c r="E20" s="220">
        <f t="shared" si="0"/>
        <v>6500</v>
      </c>
      <c r="F20" s="220" t="s">
        <v>247</v>
      </c>
      <c r="H20" s="220"/>
    </row>
    <row r="21" spans="1:8">
      <c r="A21" s="308">
        <v>6600</v>
      </c>
      <c r="B21" s="309" t="s">
        <v>148</v>
      </c>
      <c r="C21" s="308">
        <v>6000</v>
      </c>
      <c r="D21" s="309" t="s">
        <v>65</v>
      </c>
      <c r="E21" s="220">
        <f t="shared" si="0"/>
        <v>6600</v>
      </c>
      <c r="F21" s="220" t="s">
        <v>247</v>
      </c>
      <c r="G21" s="220"/>
      <c r="H21" s="220"/>
    </row>
    <row r="22" spans="1:8">
      <c r="A22" s="308">
        <v>6700</v>
      </c>
      <c r="B22" s="309" t="s">
        <v>583</v>
      </c>
      <c r="C22" s="308">
        <v>6000</v>
      </c>
      <c r="D22" s="309" t="s">
        <v>65</v>
      </c>
      <c r="E22" s="220">
        <f t="shared" si="0"/>
        <v>6700</v>
      </c>
      <c r="F22" s="220" t="s">
        <v>247</v>
      </c>
      <c r="G22" s="220"/>
      <c r="H22" s="220"/>
    </row>
    <row r="23" spans="1:8">
      <c r="A23" s="222">
        <v>6800</v>
      </c>
      <c r="B23" s="223" t="s">
        <v>135</v>
      </c>
      <c r="C23" s="222">
        <v>6000</v>
      </c>
      <c r="D23" s="223" t="s">
        <v>65</v>
      </c>
      <c r="E23" s="220">
        <f t="shared" si="0"/>
        <v>6800</v>
      </c>
      <c r="G23" s="220"/>
      <c r="H23" s="220"/>
    </row>
    <row r="24" spans="1:8">
      <c r="A24" s="308"/>
      <c r="B24" s="309" t="s">
        <v>150</v>
      </c>
      <c r="C24" s="308">
        <v>7000</v>
      </c>
      <c r="D24" s="309" t="s">
        <v>150</v>
      </c>
      <c r="E24" s="220">
        <f t="shared" si="0"/>
        <v>0</v>
      </c>
      <c r="F24" s="220" t="s">
        <v>247</v>
      </c>
      <c r="H24" s="220"/>
    </row>
    <row r="25" spans="1:8">
      <c r="A25" s="222">
        <v>7200</v>
      </c>
      <c r="B25" s="223" t="s">
        <v>209</v>
      </c>
      <c r="C25" s="222">
        <v>7000</v>
      </c>
      <c r="D25" s="223" t="s">
        <v>150</v>
      </c>
      <c r="E25" s="220">
        <f t="shared" si="0"/>
        <v>7200</v>
      </c>
      <c r="G25" s="220"/>
      <c r="H25" s="220"/>
    </row>
    <row r="26" spans="1:8">
      <c r="A26" s="222">
        <v>7300</v>
      </c>
      <c r="B26" s="223" t="s">
        <v>70</v>
      </c>
      <c r="C26" s="222">
        <v>7000</v>
      </c>
      <c r="D26" s="223" t="s">
        <v>150</v>
      </c>
      <c r="E26" s="220">
        <f t="shared" si="0"/>
        <v>7300</v>
      </c>
      <c r="G26" s="220"/>
      <c r="H26" s="220"/>
    </row>
    <row r="27" spans="1:8">
      <c r="A27" s="308"/>
      <c r="B27" s="309" t="s">
        <v>62</v>
      </c>
      <c r="C27" s="308">
        <v>8000</v>
      </c>
      <c r="D27" s="309" t="s">
        <v>62</v>
      </c>
      <c r="E27" s="220">
        <f t="shared" si="0"/>
        <v>0</v>
      </c>
      <c r="F27" s="220" t="s">
        <v>247</v>
      </c>
      <c r="H27" s="220"/>
    </row>
    <row r="28" spans="1:8">
      <c r="A28" s="222">
        <v>8200</v>
      </c>
      <c r="B28" s="223" t="s">
        <v>72</v>
      </c>
      <c r="C28" s="222">
        <v>8000</v>
      </c>
      <c r="D28" s="223" t="s">
        <v>62</v>
      </c>
      <c r="E28" s="220">
        <f t="shared" si="0"/>
        <v>8200</v>
      </c>
      <c r="G28" s="220"/>
      <c r="H28" s="220"/>
    </row>
    <row r="29" spans="1:8">
      <c r="A29" s="222">
        <v>8300</v>
      </c>
      <c r="B29" s="223" t="s">
        <v>73</v>
      </c>
      <c r="C29" s="222">
        <v>8000</v>
      </c>
      <c r="D29" s="223" t="s">
        <v>62</v>
      </c>
      <c r="E29" s="220">
        <f t="shared" si="0"/>
        <v>8300</v>
      </c>
      <c r="G29" s="220"/>
      <c r="H29" s="220"/>
    </row>
    <row r="30" spans="1:8">
      <c r="G30" s="220"/>
      <c r="H30" s="220"/>
    </row>
    <row r="31" spans="1:8">
      <c r="G31" s="220"/>
      <c r="H31" s="220"/>
    </row>
    <row r="32" spans="1:8">
      <c r="G32" s="220"/>
      <c r="H32" s="220"/>
    </row>
    <row r="33" spans="7:8" ht="7.35" customHeight="1">
      <c r="G33" s="220"/>
      <c r="H33" s="220"/>
    </row>
    <row r="34" spans="7:8">
      <c r="G34" s="220"/>
      <c r="H34" s="220"/>
    </row>
    <row r="35" spans="7:8">
      <c r="G35" s="220"/>
      <c r="H35" s="220"/>
    </row>
    <row r="36" spans="7:8">
      <c r="G36" s="220"/>
      <c r="H36" s="220"/>
    </row>
    <row r="37" spans="7:8">
      <c r="G37" s="220"/>
      <c r="H37" s="220"/>
    </row>
    <row r="38" spans="7:8" ht="7.35" customHeight="1">
      <c r="G38" s="220"/>
      <c r="H38" s="220"/>
    </row>
    <row r="39" spans="7:8">
      <c r="G39" s="220"/>
      <c r="H39" s="220"/>
    </row>
    <row r="40" spans="7:8">
      <c r="G40" s="220"/>
      <c r="H40" s="220"/>
    </row>
    <row r="41" spans="7:8">
      <c r="G41" s="220"/>
      <c r="H41" s="220"/>
    </row>
    <row r="42" spans="7:8">
      <c r="G42" s="220"/>
      <c r="H42" s="220"/>
    </row>
    <row r="43" spans="7:8">
      <c r="G43" s="220"/>
      <c r="H43" s="220"/>
    </row>
    <row r="44" spans="7:8">
      <c r="G44" s="220"/>
      <c r="H44" s="220"/>
    </row>
    <row r="45" spans="7:8">
      <c r="G45" s="220"/>
      <c r="H45" s="220"/>
    </row>
    <row r="46" spans="7:8">
      <c r="G46" s="220"/>
      <c r="H46" s="220"/>
    </row>
    <row r="47" spans="7:8">
      <c r="G47" s="220"/>
      <c r="H47" s="220"/>
    </row>
    <row r="48" spans="7:8">
      <c r="G48" s="220"/>
      <c r="H48" s="220"/>
    </row>
    <row r="49" spans="7:8">
      <c r="G49" s="220"/>
      <c r="H49" s="220"/>
    </row>
    <row r="50" spans="7:8">
      <c r="G50" s="220"/>
      <c r="H50" s="220"/>
    </row>
    <row r="51" spans="7:8">
      <c r="G51" s="220"/>
      <c r="H51" s="220"/>
    </row>
    <row r="52" spans="7:8">
      <c r="G52" s="220"/>
      <c r="H52" s="220"/>
    </row>
    <row r="53" spans="7:8">
      <c r="G53" s="220"/>
      <c r="H53" s="220"/>
    </row>
    <row r="54" spans="7:8">
      <c r="G54" s="220"/>
      <c r="H54" s="220"/>
    </row>
    <row r="55" spans="7:8">
      <c r="G55" s="220"/>
      <c r="H55" s="220"/>
    </row>
    <row r="59" spans="7:8">
      <c r="G59" s="220"/>
      <c r="H59" s="220"/>
    </row>
    <row r="60" spans="7:8">
      <c r="G60" s="220"/>
      <c r="H60" s="220"/>
    </row>
    <row r="61" spans="7:8">
      <c r="G61" s="220"/>
      <c r="H61" s="220"/>
    </row>
    <row r="62" spans="7:8">
      <c r="G62" s="220"/>
      <c r="H62" s="220"/>
    </row>
    <row r="63" spans="7:8">
      <c r="G63" s="220"/>
      <c r="H63" s="220"/>
    </row>
    <row r="64" spans="7:8">
      <c r="G64" s="220"/>
      <c r="H64" s="220"/>
    </row>
    <row r="65" spans="7:8">
      <c r="G65" s="220"/>
      <c r="H65" s="220"/>
    </row>
    <row r="66" spans="7:8">
      <c r="G66" s="220"/>
      <c r="H66" s="220"/>
    </row>
    <row r="67" spans="7:8">
      <c r="G67" s="220"/>
      <c r="H67" s="220"/>
    </row>
    <row r="68" spans="7:8">
      <c r="G68" s="220"/>
      <c r="H68" s="220"/>
    </row>
    <row r="69" spans="7:8">
      <c r="G69" s="220"/>
      <c r="H69" s="220"/>
    </row>
    <row r="70" spans="7:8">
      <c r="G70" s="220"/>
      <c r="H70" s="220"/>
    </row>
    <row r="71" spans="7:8">
      <c r="G71" s="220"/>
      <c r="H71" s="220"/>
    </row>
    <row r="72" spans="7:8">
      <c r="G72" s="220"/>
      <c r="H72" s="220"/>
    </row>
    <row r="73" spans="7:8">
      <c r="G73" s="220"/>
      <c r="H73" s="220"/>
    </row>
    <row r="74" spans="7:8">
      <c r="G74" s="220"/>
      <c r="H74" s="220"/>
    </row>
    <row r="75" spans="7:8">
      <c r="G75" s="220"/>
      <c r="H75" s="220"/>
    </row>
    <row r="76" spans="7:8">
      <c r="G76" s="220"/>
      <c r="H76" s="220"/>
    </row>
    <row r="77" spans="7:8">
      <c r="G77" s="220"/>
      <c r="H77" s="220"/>
    </row>
    <row r="78" spans="7:8">
      <c r="G78" s="220"/>
      <c r="H78" s="220"/>
    </row>
    <row r="79" spans="7:8">
      <c r="G79" s="220"/>
      <c r="H79" s="220"/>
    </row>
    <row r="80" spans="7:8">
      <c r="G80" s="220"/>
      <c r="H80" s="220"/>
    </row>
    <row r="81" spans="7:8">
      <c r="G81" s="220"/>
      <c r="H81" s="220"/>
    </row>
    <row r="82" spans="7:8">
      <c r="G82" s="220"/>
      <c r="H82" s="220"/>
    </row>
    <row r="83" spans="7:8">
      <c r="G83" s="220"/>
      <c r="H83" s="220"/>
    </row>
    <row r="84" spans="7:8">
      <c r="G84" s="220"/>
      <c r="H84" s="220"/>
    </row>
    <row r="85" spans="7:8">
      <c r="G85" s="220"/>
      <c r="H85" s="220"/>
    </row>
    <row r="86" spans="7:8">
      <c r="G86" s="220"/>
      <c r="H86" s="220"/>
    </row>
    <row r="87" spans="7:8">
      <c r="G87" s="220"/>
      <c r="H87" s="220"/>
    </row>
    <row r="88" spans="7:8">
      <c r="G88" s="220"/>
      <c r="H88" s="220"/>
    </row>
    <row r="89" spans="7:8">
      <c r="G89" s="220"/>
      <c r="H89" s="220"/>
    </row>
    <row r="90" spans="7:8">
      <c r="G90" s="220"/>
      <c r="H90" s="220"/>
    </row>
    <row r="91" spans="7:8">
      <c r="G91" s="220"/>
      <c r="H91" s="220"/>
    </row>
    <row r="92" spans="7:8">
      <c r="G92" s="220"/>
      <c r="H92" s="220"/>
    </row>
    <row r="93" spans="7:8">
      <c r="G93" s="220"/>
      <c r="H93" s="220"/>
    </row>
    <row r="94" spans="7:8">
      <c r="G94" s="220"/>
      <c r="H94" s="220"/>
    </row>
  </sheetData>
  <pageMargins left="0.75000000000000011" right="0.75000000000000011" top="1" bottom="1" header="0.5" footer="0.5"/>
  <pageSetup paperSize="9" scale="9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14</vt:i4>
      </vt:variant>
    </vt:vector>
  </HeadingPairs>
  <TitlesOfParts>
    <vt:vector size="42" baseType="lpstr">
      <vt:lpstr> 2022</vt:lpstr>
      <vt:lpstr>PLAN 2018</vt:lpstr>
      <vt:lpstr>Výrobky</vt:lpstr>
      <vt:lpstr>Služby</vt:lpstr>
      <vt:lpstr>Zboží zahr</vt:lpstr>
      <vt:lpstr>Zbozi tuz</vt:lpstr>
      <vt:lpstr>Najem</vt:lpstr>
      <vt:lpstr>investice</vt:lpstr>
      <vt:lpstr>osobni</vt:lpstr>
      <vt:lpstr>auta</vt:lpstr>
      <vt:lpstr>odb. sluzby</vt:lpstr>
      <vt:lpstr>IT</vt:lpstr>
      <vt:lpstr>Marketing</vt:lpstr>
      <vt:lpstr>a</vt:lpstr>
      <vt:lpstr>Vedeni</vt:lpstr>
      <vt:lpstr>Kvalita</vt:lpstr>
      <vt:lpstr>areal1</vt:lpstr>
      <vt:lpstr>Admin</vt:lpstr>
      <vt:lpstr>Obchod</vt:lpstr>
      <vt:lpstr>Nakup</vt:lpstr>
      <vt:lpstr>Vyroba</vt:lpstr>
      <vt:lpstr>Opravy a repasy</vt:lpstr>
      <vt:lpstr>Vyvoj</vt:lpstr>
      <vt:lpstr>Konstrukce</vt:lpstr>
      <vt:lpstr>Ext. montaze</vt:lpstr>
      <vt:lpstr>Skoleni</vt:lpstr>
      <vt:lpstr>b</vt:lpstr>
      <vt:lpstr>seznam stredisek</vt:lpstr>
      <vt:lpstr>auta!Názvy_tisku</vt:lpstr>
      <vt:lpstr>osobni!Názvy_tisku</vt:lpstr>
      <vt:lpstr>auta!Oblast_tisku</vt:lpstr>
      <vt:lpstr>investice!Oblast_tisku</vt:lpstr>
      <vt:lpstr>IT!Oblast_tisku</vt:lpstr>
      <vt:lpstr>Marketing!Oblast_tisku</vt:lpstr>
      <vt:lpstr>Najem!Oblast_tisku</vt:lpstr>
      <vt:lpstr>osobni!Oblast_tisku</vt:lpstr>
      <vt:lpstr>'PLAN 2018'!Oblast_tisku</vt:lpstr>
      <vt:lpstr>'seznam stredisek'!Oblast_tisku</vt:lpstr>
      <vt:lpstr>Služby!Oblast_tisku</vt:lpstr>
      <vt:lpstr>Výrobky!Oblast_tisku</vt:lpstr>
      <vt:lpstr>'Zbozi tuz'!Oblast_tisku</vt:lpstr>
      <vt:lpstr>'Zboží zahr'!Oblast_tisku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plan</dc:title>
  <dc:subject/>
  <dc:creator>Tomas Rybicka</dc:creator>
  <cp:keywords/>
  <dc:description/>
  <cp:lastModifiedBy>Windows User</cp:lastModifiedBy>
  <cp:lastPrinted>2017-12-04T11:57:22Z</cp:lastPrinted>
  <dcterms:created xsi:type="dcterms:W3CDTF">2002-06-25T17:42:28Z</dcterms:created>
  <dcterms:modified xsi:type="dcterms:W3CDTF">2018-06-27T09:16:55Z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